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0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'cashflow'!$G$15:$G$17</definedName>
    <definedName name="_xlnm.Print_Area" localSheetId="7">'cashflow'!$B$1:$K$79</definedName>
    <definedName name="_xlnm.Print_Area" localSheetId="3">'equity statement'!$A$1:$H$34</definedName>
    <definedName name="_xlnm.Print_Area" localSheetId="0">'Income statement'!$A$1:$L$65</definedName>
  </definedNames>
  <calcPr fullCalcOnLoad="1"/>
</workbook>
</file>

<file path=xl/sharedStrings.xml><?xml version="1.0" encoding="utf-8"?>
<sst xmlns="http://schemas.openxmlformats.org/spreadsheetml/2006/main" count="426" uniqueCount="269">
  <si>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</si>
  <si>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</si>
  <si>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</si>
  <si>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</si>
  <si>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</si>
  <si>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</si>
  <si>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</si>
  <si>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</si>
  <si>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</si>
  <si>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</si>
  <si>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</si>
  <si>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</si>
  <si>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</si>
  <si>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</si>
  <si>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</si>
  <si>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</si>
  <si>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</si>
  <si>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</si>
  <si>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</si>
  <si>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</si>
  <si>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</si>
  <si>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</si>
  <si>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</si>
  <si>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</si>
  <si>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</si>
  <si>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 xml:space="preserve">        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</si>
  <si>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</si>
  <si>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</si>
  <si>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</si>
  <si>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</si>
  <si>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</si>
  <si>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</si>
  <si>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</si>
  <si>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</si>
  <si>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</si>
  <si>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</si>
  <si>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</si>
  <si>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</si>
  <si>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</si>
  <si>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</si>
  <si>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</si>
  <si>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</si>
  <si>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</si>
  <si>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Net profit for the period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</si>
  <si>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</si>
  <si>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</si>
  <si>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</si>
  <si>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</si>
  <si>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</si>
  <si>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</si>
  <si>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</si>
  <si>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</si>
  <si>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</si>
  <si>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</si>
  <si>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</si>
  <si>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</si>
  <si>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</si>
  <si>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</si>
  <si>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</si>
  <si>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</si>
  <si>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</si>
  <si>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</si>
  <si>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</si>
  <si>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</si>
  <si>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</si>
  <si>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</si>
  <si>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</si>
  <si>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</si>
  <si>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</si>
  <si>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</si>
  <si>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</si>
  <si>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</si>
  <si>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</si>
  <si>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</si>
  <si>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</si>
  <si>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</si>
  <si>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</si>
  <si>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</si>
  <si>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</si>
  <si>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</si>
  <si>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</si>
  <si>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</si>
  <si>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</si>
  <si>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</si>
  <si>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</si>
  <si>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</si>
  <si>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</si>
  <si>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</si>
  <si>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</si>
  <si>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</si>
  <si>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</si>
  <si>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</si>
  <si>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</si>
  <si>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</si>
  <si>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</si>
  <si>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</si>
  <si>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</si>
  <si>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</si>
  <si>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</si>
  <si>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</si>
  <si>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</si>
  <si>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</si>
  <si>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</si>
  <si>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</si>
  <si>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</si>
  <si>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</si>
  <si>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</si>
  <si>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</si>
  <si>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</si>
  <si>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</si>
  <si>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</si>
  <si>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</si>
  <si>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</si>
  <si>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</si>
  <si>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</si>
  <si>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Prepaid land lease payment</t>
  </si>
  <si>
    <t>Trade receivables</t>
  </si>
  <si>
    <t>Short term and fixed  deposits with licensed banks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</si>
  <si>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</si>
  <si>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</si>
  <si>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</si>
  <si>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</si>
  <si>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</si>
  <si>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</si>
  <si>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</si>
  <si>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</si>
  <si>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</si>
  <si>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</si>
  <si>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</si>
  <si>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</si>
  <si>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</si>
  <si>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Profit  before taxation</t>
  </si>
  <si>
    <t>Profit after tax for the period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</si>
  <si>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</si>
  <si>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</si>
  <si>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</si>
  <si>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</si>
  <si>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</si>
  <si>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</si>
  <si>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</si>
  <si>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</si>
  <si>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</si>
  <si>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</si>
  <si>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>30 September 2009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</si>
  <si>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</si>
  <si>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</si>
  <si>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 xml:space="preserve">Share premium 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</si>
  <si>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</si>
  <si>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</si>
  <si>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</si>
  <si>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</si>
  <si>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</si>
  <si>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</si>
  <si>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</si>
  <si>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</si>
  <si>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</si>
  <si>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</si>
  <si>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</si>
  <si>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r>
      <t>Corresponding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Quarter Ended</t>
    </r>
  </si>
  <si>
    <t>31 December 2009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</si>
  <si>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</si>
  <si>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</si>
  <si>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</si>
  <si>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</si>
  <si>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</si>
  <si>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</si>
  <si>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</si>
  <si>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</si>
  <si>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</si>
  <si>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</si>
  <si>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</si>
  <si>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</si>
  <si>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</si>
  <si>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</si>
  <si>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</si>
  <si>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</si>
  <si>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</si>
  <si>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</si>
  <si>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</si>
  <si>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</si>
  <si>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</si>
  <si>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</si>
  <si>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</si>
  <si>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</si>
  <si>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</si>
  <si>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</si>
  <si>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</si>
  <si>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</si>
  <si>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</si>
  <si>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</si>
  <si>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</si>
  <si>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</si>
  <si>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</si>
  <si>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</si>
  <si>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</si>
  <si>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</si>
  <si>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</si>
  <si>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</si>
  <si>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</si>
  <si>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</si>
  <si>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</si>
  <si>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</si>
  <si>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</si>
  <si>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</si>
  <si>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</si>
  <si>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</si>
  <si>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</si>
  <si>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</si>
  <si>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</si>
  <si>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</si>
  <si>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</si>
  <si>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</si>
  <si>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</si>
  <si>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</si>
  <si>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</si>
  <si>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</si>
  <si>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</si>
  <si>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</si>
  <si>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</si>
  <si>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</si>
  <si>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Balance as at 1 Jan 2010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</si>
  <si>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</si>
  <si>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</si>
  <si>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</si>
  <si>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 xml:space="preserve"> for the financial year ended 31 December 2009 and the accompanying notes attached to this interim financial report.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</si>
  <si>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</si>
  <si>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</si>
  <si>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</si>
  <si>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</si>
  <si>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 xml:space="preserve">Total comprehensive income attributable to </t>
  </si>
  <si>
    <t>owners of the parent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</si>
  <si>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</si>
  <si>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</si>
  <si>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</si>
  <si>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statements for the financial year ended 31 December 2009 and the accompanying notes attached to this interim financial report.</t>
  </si>
  <si>
    <t>The Condensed Consolidated  Statement of Cashflow should be read in conjunction with the audited financial</t>
  </si>
  <si>
    <t>Dividend paid</t>
  </si>
  <si>
    <t>Profit attributable to:</t>
  </si>
  <si>
    <t>Equity holders of the parent</t>
  </si>
  <si>
    <t>Non-controlling Interest</t>
  </si>
  <si>
    <t>Preceding Year Corresponding Period</t>
  </si>
  <si>
    <t>Preceding Year Corresponding Quarter</t>
  </si>
  <si>
    <t>30 September 2010</t>
  </si>
  <si>
    <t>Net increase/(decrease) in bills payable</t>
  </si>
  <si>
    <t>(Repayment)/Draw down of Term Loan</t>
  </si>
  <si>
    <t xml:space="preserve">(Repayment)/Draw down of medium term notes </t>
  </si>
  <si>
    <t>FOR THE FOURTH QUARTER ENDED 31 DECEMBER 2010</t>
  </si>
  <si>
    <t>31 December 2010</t>
  </si>
  <si>
    <t>AS AT 31 DECEMBER 2010</t>
  </si>
  <si>
    <t>Balance as at 31 December 2010</t>
  </si>
  <si>
    <t>Preceding year Corresponding                Period                                         31 December 2009</t>
  </si>
  <si>
    <t>Cumulative Year To Date</t>
  </si>
  <si>
    <t>Proceeds from issuanceof shares</t>
  </si>
  <si>
    <t>Payment of share issue and listing expenses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</si>
  <si>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</si>
  <si>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</si>
  <si>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</si>
  <si>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</si>
  <si>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Increase  in trade payables</t>
  </si>
  <si>
    <t>Increase/(Decrease) in other payables and accruals</t>
  </si>
  <si>
    <t>FOR THE FINANCIAL YEAR ENDED 31 DECEMBER 2010</t>
  </si>
  <si>
    <t>Year Ended                             31 December 2010</t>
  </si>
  <si>
    <t>(Increase) in trade receivables</t>
  </si>
  <si>
    <t>(iii)</t>
  </si>
  <si>
    <t xml:space="preserve">There are no direct comparative figures for the corresponding cumulative period for the preceding year as the Group was </t>
  </si>
  <si>
    <t>formed on 6th May 2009.</t>
  </si>
  <si>
    <t>Amount due from contract customers</t>
  </si>
  <si>
    <t>Amount due to contract customers</t>
  </si>
  <si>
    <t>as at 31 December 2010 divided  by the number of ordinary shares of 90,000,000.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</si>
</sst>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#,##0.000"/>
    <numFmt numFmtId="169" formatCode="0_);\(0\)"/>
    <numFmt numFmtId="170" formatCode="00000"/>
    <numFmt numFmtId="171" formatCode="0.0"/>
    <numFmt numFmtId="172" formatCode="0.E+00"/>
    <numFmt numFmtId="173" formatCode="000\-00\-0000"/>
    <numFmt numFmtId="174" formatCode="_(* #,##0.0_);_(* \(#,##0.0\);_(* &quot;-&quot;_);_(@_)"/>
    <numFmt numFmtId="175" formatCode="_(* #,##0.00_);_(* \(#,##0.00\);_(* &quot;-&quot;_);_(@_)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_);_(* \(#,##0.000\);_(* &quot;-&quot;_);_(@_)"/>
    <numFmt numFmtId="186" formatCode="_(* #,##0.0000_);_(* \(#,##0.0000\);_(* &quot;-&quot;_);_(@_)"/>
    <numFmt numFmtId="187" formatCode="_(* #,##0.00000_);_(* \(#,##0.00000\);_(* &quot;-&quot;_);_(@_)"/>
    <numFmt numFmtId="188" formatCode="_(* #,##0.000000_);_(* \(#,##0.000000\);_(* &quot;-&quot;_);_(@_)"/>
    <numFmt numFmtId="189" formatCode="_(* #,##0.0000000_);_(* \(#,##0.0000000\);_(* &quot;-&quot;_);_(@_)"/>
    <numFmt numFmtId="190" formatCode="_(* #,##0.00000000_);_(* \(#,##0.00000000\);_(* &quot;-&quot;_);_(@_)"/>
    <numFmt numFmtId="191" formatCode="_(* #,##0.000000000_);_(* \(#,##0.000000000\);_(* &quot;-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[$-409]d/mmm/yyyy;@"/>
    <numFmt numFmtId="198" formatCode="[$-409]h:mm:ss\ AM/PM"/>
    <numFmt numFmtId="199" formatCode="#,##0;[Red]#,##0"/>
  </numFmts>
  <fonts count="8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6" fontId="5" fillId="0" borderId="0" xfId="42" applyNumberFormat="1" applyFont="1" applyAlignment="1">
      <alignment horizontal="right" vertical="top" wrapText="1"/>
    </xf>
    <xf numFmtId="166" fontId="5" fillId="0" borderId="10" xfId="42" applyNumberFormat="1" applyFont="1" applyBorder="1" applyAlignment="1">
      <alignment horizontal="right" vertical="top" wrapText="1"/>
    </xf>
    <xf numFmtId="166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66" fontId="5" fillId="0" borderId="10" xfId="42" applyNumberFormat="1" applyFont="1" applyBorder="1" applyAlignment="1">
      <alignment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5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 horizontal="right" vertical="top" wrapText="1"/>
    </xf>
    <xf numFmtId="166" fontId="0" fillId="0" borderId="10" xfId="42" applyNumberFormat="1" applyFont="1" applyBorder="1" applyAlignment="1">
      <alignment horizontal="right" vertical="top" wrapText="1"/>
    </xf>
    <xf numFmtId="166" fontId="0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/>
    </xf>
    <xf numFmtId="166" fontId="0" fillId="0" borderId="12" xfId="42" applyNumberFormat="1" applyFont="1" applyBorder="1" applyAlignment="1">
      <alignment horizontal="right" vertical="top" wrapText="1"/>
    </xf>
    <xf numFmtId="166" fontId="5" fillId="0" borderId="13" xfId="42" applyNumberFormat="1" applyFont="1" applyBorder="1" applyAlignment="1">
      <alignment horizontal="right" vertical="top" wrapText="1"/>
    </xf>
    <xf numFmtId="166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justify" vertical="top" wrapText="1"/>
    </xf>
    <xf numFmtId="0" fontId="71" fillId="0" borderId="0" xfId="0" applyFont="1" applyAlignment="1">
      <alignment horizontal="left" vertical="top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66" fontId="0" fillId="0" borderId="14" xfId="0" applyNumberFormat="1" applyFont="1" applyBorder="1" applyAlignment="1">
      <alignment/>
    </xf>
    <xf numFmtId="0" fontId="73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66" fontId="4" fillId="0" borderId="0" xfId="42" applyNumberFormat="1" applyFont="1" applyAlignment="1">
      <alignment horizontal="right" vertical="top" wrapText="1"/>
    </xf>
    <xf numFmtId="166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7" fontId="5" fillId="0" borderId="15" xfId="0" applyNumberFormat="1" applyFont="1" applyFill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7" fontId="5" fillId="0" borderId="14" xfId="0" applyNumberFormat="1" applyFont="1" applyBorder="1" applyAlignment="1">
      <alignment horizontal="center"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0" xfId="42" applyNumberFormat="1" applyFont="1" applyAlignment="1">
      <alignment horizontal="center" vertical="center"/>
    </xf>
    <xf numFmtId="166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42" applyNumberFormat="1" applyFont="1" applyAlignment="1">
      <alignment/>
    </xf>
    <xf numFmtId="166" fontId="5" fillId="0" borderId="0" xfId="0" applyNumberFormat="1" applyFont="1" applyAlignment="1">
      <alignment/>
    </xf>
    <xf numFmtId="0" fontId="75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66" fontId="4" fillId="0" borderId="0" xfId="42" applyNumberFormat="1" applyFont="1" applyAlignment="1">
      <alignment horizontal="center" vertical="center"/>
    </xf>
    <xf numFmtId="166" fontId="4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Border="1" applyAlignment="1">
      <alignment horizontal="right" vertical="top" wrapText="1"/>
    </xf>
    <xf numFmtId="166" fontId="4" fillId="0" borderId="14" xfId="0" applyNumberFormat="1" applyFont="1" applyBorder="1" applyAlignment="1">
      <alignment/>
    </xf>
    <xf numFmtId="37" fontId="5" fillId="0" borderId="12" xfId="0" applyNumberFormat="1" applyFont="1" applyBorder="1" applyAlignment="1">
      <alignment horizontal="center"/>
    </xf>
    <xf numFmtId="37" fontId="14" fillId="0" borderId="16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66" fontId="6" fillId="34" borderId="0" xfId="42" applyNumberFormat="1" applyFont="1" applyFill="1" applyAlignment="1">
      <alignment/>
    </xf>
    <xf numFmtId="166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6" fontId="5" fillId="0" borderId="10" xfId="42" applyNumberFormat="1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166" fontId="5" fillId="0" borderId="0" xfId="42" applyNumberFormat="1" applyFont="1" applyAlignment="1" quotePrefix="1">
      <alignment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166" fontId="5" fillId="0" borderId="0" xfId="42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15" xfId="0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5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5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9" fontId="5" fillId="0" borderId="0" xfId="60" applyFont="1" applyAlignment="1">
      <alignment/>
    </xf>
    <xf numFmtId="0" fontId="52" fillId="0" borderId="0" xfId="57">
      <alignment/>
      <protection/>
    </xf>
    <xf numFmtId="0" fontId="79" fillId="0" borderId="0" xfId="57" applyFont="1">
      <alignment/>
      <protection/>
    </xf>
    <xf numFmtId="0" fontId="79" fillId="0" borderId="0" xfId="57" applyFont="1" applyAlignment="1">
      <alignment horizontal="right" vertical="top" wrapText="1"/>
      <protection/>
    </xf>
    <xf numFmtId="0" fontId="77" fillId="0" borderId="0" xfId="57" applyFont="1" applyAlignment="1">
      <alignment horizontal="right" vertical="top" wrapText="1"/>
      <protection/>
    </xf>
    <xf numFmtId="0" fontId="80" fillId="0" borderId="0" xfId="57" applyFont="1" applyAlignment="1">
      <alignment wrapText="1"/>
      <protection/>
    </xf>
    <xf numFmtId="0" fontId="77" fillId="0" borderId="0" xfId="57" applyFont="1">
      <alignment/>
      <protection/>
    </xf>
    <xf numFmtId="0" fontId="79" fillId="0" borderId="0" xfId="57" applyFont="1" applyAlignment="1">
      <alignment vertical="top" wrapText="1"/>
      <protection/>
    </xf>
    <xf numFmtId="0" fontId="77" fillId="0" borderId="0" xfId="57" applyFont="1" applyAlignment="1">
      <alignment vertical="top" wrapText="1"/>
      <protection/>
    </xf>
    <xf numFmtId="3" fontId="77" fillId="0" borderId="0" xfId="57" applyNumberFormat="1" applyFont="1" applyAlignment="1">
      <alignment horizontal="right" vertical="top" wrapText="1"/>
      <protection/>
    </xf>
    <xf numFmtId="3" fontId="77" fillId="0" borderId="10" xfId="57" applyNumberFormat="1" applyFont="1" applyBorder="1" applyAlignment="1">
      <alignment horizontal="right" vertical="top" wrapText="1"/>
      <protection/>
    </xf>
    <xf numFmtId="3" fontId="77" fillId="0" borderId="12" xfId="57" applyNumberFormat="1" applyFont="1" applyBorder="1" applyAlignment="1">
      <alignment horizontal="right" vertical="top" wrapText="1"/>
      <protection/>
    </xf>
    <xf numFmtId="0" fontId="80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66" fontId="4" fillId="0" borderId="16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37" fontId="5" fillId="0" borderId="13" xfId="0" applyNumberFormat="1" applyFont="1" applyBorder="1" applyAlignment="1">
      <alignment/>
    </xf>
    <xf numFmtId="37" fontId="5" fillId="0" borderId="13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7" fontId="5" fillId="0" borderId="15" xfId="0" applyNumberFormat="1" applyFont="1" applyFill="1" applyBorder="1" applyAlignment="1">
      <alignment horizontal="right"/>
    </xf>
    <xf numFmtId="166" fontId="4" fillId="0" borderId="0" xfId="42" applyNumberFormat="1" applyFont="1" applyBorder="1" applyAlignment="1">
      <alignment vertical="top" wrapText="1"/>
    </xf>
    <xf numFmtId="166" fontId="5" fillId="0" borderId="0" xfId="42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9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66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Border="1" applyAlignment="1">
      <alignment horizontal="center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43" fontId="5" fillId="0" borderId="13" xfId="42" applyFont="1" applyBorder="1" applyAlignment="1">
      <alignment horizontal="center"/>
    </xf>
    <xf numFmtId="41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166" fontId="5" fillId="0" borderId="0" xfId="42" applyNumberFormat="1" applyFont="1" applyFill="1" applyAlignment="1">
      <alignment horizontal="right" vertical="top" wrapText="1"/>
    </xf>
    <xf numFmtId="166" fontId="5" fillId="0" borderId="11" xfId="42" applyNumberFormat="1" applyFont="1" applyFill="1" applyBorder="1" applyAlignment="1">
      <alignment horizontal="right" vertical="top" wrapText="1"/>
    </xf>
    <xf numFmtId="166" fontId="4" fillId="0" borderId="0" xfId="42" applyNumberFormat="1" applyFont="1" applyFill="1" applyAlignment="1">
      <alignment horizontal="right" vertical="top" wrapText="1"/>
    </xf>
    <xf numFmtId="166" fontId="5" fillId="0" borderId="10" xfId="42" applyNumberFormat="1" applyFont="1" applyFill="1" applyBorder="1" applyAlignment="1">
      <alignment horizontal="right" vertical="top" wrapText="1"/>
    </xf>
    <xf numFmtId="166" fontId="4" fillId="0" borderId="10" xfId="42" applyNumberFormat="1" applyFont="1" applyFill="1" applyBorder="1" applyAlignment="1">
      <alignment horizontal="right" vertical="top" wrapText="1"/>
    </xf>
    <xf numFmtId="166" fontId="5" fillId="0" borderId="0" xfId="42" applyNumberFormat="1" applyFont="1" applyFill="1" applyAlignment="1">
      <alignment/>
    </xf>
    <xf numFmtId="166" fontId="5" fillId="0" borderId="0" xfId="42" applyNumberFormat="1" applyFont="1" applyFill="1" applyBorder="1" applyAlignment="1">
      <alignment horizontal="right" vertical="top" wrapText="1"/>
    </xf>
    <xf numFmtId="37" fontId="5" fillId="0" borderId="0" xfId="0" applyNumberFormat="1" applyFont="1" applyFill="1" applyAlignment="1">
      <alignment/>
    </xf>
    <xf numFmtId="166" fontId="4" fillId="0" borderId="10" xfId="42" applyNumberFormat="1" applyFont="1" applyFill="1" applyBorder="1" applyAlignment="1">
      <alignment vertical="top" wrapText="1"/>
    </xf>
    <xf numFmtId="166" fontId="4" fillId="0" borderId="12" xfId="42" applyNumberFormat="1" applyFont="1" applyFill="1" applyBorder="1" applyAlignment="1">
      <alignment horizontal="right" vertical="top" wrapText="1"/>
    </xf>
    <xf numFmtId="166" fontId="5" fillId="0" borderId="10" xfId="42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41" fontId="5" fillId="0" borderId="0" xfId="42" applyNumberFormat="1" applyFont="1" applyBorder="1" applyAlignment="1">
      <alignment horizontal="right"/>
    </xf>
    <xf numFmtId="199" fontId="5" fillId="0" borderId="0" xfId="42" applyNumberFormat="1" applyFont="1" applyBorder="1" applyAlignment="1">
      <alignment horizontal="center"/>
    </xf>
    <xf numFmtId="166" fontId="81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Administrator\Desktop\HRB%20MTHLY\HRB%20dec09\HRB%20perf12.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L\HRB%20Dec%2010\HRB%20Consol%20%2012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0\HRB%20Dec%2010\HRB%20Consol%20%2012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42010-rina-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42010-rina-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CPL.09"/>
      <sheetName val="HRB consol"/>
      <sheetName val="P &amp; L.HOSSB"/>
      <sheetName val="CBS"/>
      <sheetName val="Bal Sheet.HOSSB"/>
      <sheetName val="cashflow.Gp"/>
      <sheetName val="cashflow state HOSSB"/>
      <sheetName val="IPO.Dec09."/>
      <sheetName val="IPO .det.1209"/>
      <sheetName val="Segment P &amp; L"/>
      <sheetName val="segm rep."/>
      <sheetName val="related party.qTR"/>
      <sheetName val="mandate rpt"/>
      <sheetName val="taxation"/>
      <sheetName val="Gp 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 &amp;l1209r"/>
      <sheetName val="seg p &amp;l.11"/>
      <sheetName val="seg p&amp;l.10"/>
    </sheetNames>
    <sheetDataSet>
      <sheetData sheetId="20">
        <row r="19">
          <cell r="E19">
            <v>90000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66">
          <cell r="N66">
            <v>2506.04367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7">
          <cell r="N97">
            <v>1549.57636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2">
          <cell r="U52">
            <v>-6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0">
          <cell r="U60">
            <v>363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Consol-mil"/>
      <sheetName val="JV-mi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1">
        <row r="29">
          <cell r="Q29">
            <v>6.408137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Consol-mil"/>
      <sheetName val="JV-mi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1">
        <row r="12">
          <cell r="V12">
            <v>98783.39914999998</v>
          </cell>
        </row>
        <row r="13">
          <cell r="V13">
            <v>-56192.16966000001</v>
          </cell>
        </row>
        <row r="16">
          <cell r="V16">
            <v>2034.547</v>
          </cell>
        </row>
        <row r="18">
          <cell r="V18">
            <v>-14517.9878</v>
          </cell>
        </row>
        <row r="19">
          <cell r="V19">
            <v>-2895.67693</v>
          </cell>
        </row>
        <row r="20">
          <cell r="V20">
            <v>-3780.1789399999993</v>
          </cell>
        </row>
        <row r="25">
          <cell r="V25">
            <v>-2264.0094900000004</v>
          </cell>
        </row>
        <row r="27">
          <cell r="V27">
            <v>-4975.979809999999</v>
          </cell>
        </row>
        <row r="68">
          <cell r="V68">
            <v>27906.72377</v>
          </cell>
        </row>
        <row r="69">
          <cell r="V69">
            <v>2470.7227999999996</v>
          </cell>
        </row>
        <row r="74">
          <cell r="V74">
            <v>373.97199</v>
          </cell>
        </row>
        <row r="78">
          <cell r="V78">
            <v>6906.98149</v>
          </cell>
        </row>
        <row r="79">
          <cell r="V79">
            <v>0</v>
          </cell>
        </row>
        <row r="80">
          <cell r="V80">
            <v>17501.429679999997</v>
          </cell>
        </row>
        <row r="81">
          <cell r="V81">
            <v>28983.939970000003</v>
          </cell>
        </row>
        <row r="83">
          <cell r="V83">
            <v>2785.19803</v>
          </cell>
        </row>
        <row r="84">
          <cell r="V84">
            <v>35</v>
          </cell>
        </row>
        <row r="85">
          <cell r="V85">
            <v>25978.04163</v>
          </cell>
        </row>
        <row r="86">
          <cell r="V86">
            <v>11912.03834</v>
          </cell>
        </row>
        <row r="99">
          <cell r="V99">
            <v>45000</v>
          </cell>
        </row>
        <row r="101">
          <cell r="V101">
            <v>1549.57636</v>
          </cell>
        </row>
        <row r="102">
          <cell r="V102">
            <v>24404.887289999995</v>
          </cell>
        </row>
        <row r="105">
          <cell r="V105">
            <v>12.60508</v>
          </cell>
        </row>
        <row r="110">
          <cell r="V110">
            <v>128</v>
          </cell>
        </row>
        <row r="111">
          <cell r="V111">
            <v>23118.78269</v>
          </cell>
        </row>
        <row r="112">
          <cell r="V112">
            <v>1593</v>
          </cell>
        </row>
        <row r="115">
          <cell r="V115">
            <v>146.38081</v>
          </cell>
        </row>
        <row r="116">
          <cell r="V116">
            <v>10172.95425</v>
          </cell>
        </row>
        <row r="117">
          <cell r="V117">
            <v>6671.61048</v>
          </cell>
        </row>
        <row r="118">
          <cell r="V118">
            <v>217.78871999999996</v>
          </cell>
        </row>
        <row r="119">
          <cell r="V119">
            <v>11295.887120000003</v>
          </cell>
        </row>
        <row r="120">
          <cell r="V120">
            <v>542.10256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12.10(RM)"/>
      <sheetName val="CBS12.10"/>
      <sheetName val="BS.VAR"/>
      <sheetName val="Sheet1"/>
      <sheetName val="PPE"/>
      <sheetName val="cashflow."/>
    </sheetNames>
    <sheetDataSet>
      <sheetData sheetId="7">
        <row r="67">
          <cell r="V67">
            <v>18800</v>
          </cell>
        </row>
        <row r="75">
          <cell r="N75">
            <v>25978</v>
          </cell>
        </row>
        <row r="76">
          <cell r="N76">
            <v>11912</v>
          </cell>
        </row>
        <row r="77">
          <cell r="N77">
            <v>-6056</v>
          </cell>
        </row>
        <row r="79">
          <cell r="N79">
            <v>-11801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12.10(RM)"/>
      <sheetName val="CBS12.10"/>
      <sheetName val="BS.VAR"/>
      <sheetName val="Sheet1"/>
      <sheetName val="PPE"/>
      <sheetName val="cashflow."/>
    </sheetNames>
    <sheetDataSet>
      <sheetData sheetId="7">
        <row r="8">
          <cell r="V8">
            <v>21168</v>
          </cell>
        </row>
        <row r="17">
          <cell r="X17">
            <v>2199.7712600000004</v>
          </cell>
        </row>
        <row r="23">
          <cell r="V23">
            <v>-1354.6316399999996</v>
          </cell>
        </row>
        <row r="24">
          <cell r="V24">
            <v>-1258.897359999999</v>
          </cell>
        </row>
        <row r="25">
          <cell r="V25">
            <v>-12286.892970000004</v>
          </cell>
        </row>
        <row r="26">
          <cell r="V26">
            <v>1115.7268100000001</v>
          </cell>
        </row>
        <row r="27">
          <cell r="V27">
            <v>-2178.90703</v>
          </cell>
        </row>
        <row r="28">
          <cell r="V28">
            <v>1424.1969200000021</v>
          </cell>
        </row>
        <row r="29">
          <cell r="V29">
            <v>3705.18203</v>
          </cell>
        </row>
        <row r="32">
          <cell r="V32">
            <v>12533.54802</v>
          </cell>
        </row>
        <row r="34">
          <cell r="V34">
            <v>-1417.7712600000004</v>
          </cell>
        </row>
        <row r="35">
          <cell r="V35">
            <v>-4976</v>
          </cell>
        </row>
        <row r="40">
          <cell r="V40">
            <v>0</v>
          </cell>
        </row>
        <row r="41">
          <cell r="V41">
            <v>486</v>
          </cell>
        </row>
        <row r="42">
          <cell r="V42">
            <v>235</v>
          </cell>
        </row>
        <row r="43">
          <cell r="V43">
            <v>0</v>
          </cell>
        </row>
        <row r="45">
          <cell r="V45">
            <v>-4255.1151269999955</v>
          </cell>
        </row>
        <row r="51">
          <cell r="V51">
            <v>446</v>
          </cell>
        </row>
        <row r="52">
          <cell r="V52">
            <v>-21.30162</v>
          </cell>
        </row>
        <row r="53">
          <cell r="V53">
            <v>-123.08667</v>
          </cell>
        </row>
        <row r="54">
          <cell r="V54">
            <v>-127.86328000000003</v>
          </cell>
        </row>
        <row r="55">
          <cell r="V55">
            <v>22000</v>
          </cell>
        </row>
        <row r="59">
          <cell r="V59">
            <v>-1800</v>
          </cell>
        </row>
        <row r="60">
          <cell r="V60">
            <v>-1745.91268</v>
          </cell>
        </row>
        <row r="61">
          <cell r="V61">
            <v>-20000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1">
      <pane xSplit="2" ySplit="13" topLeftCell="E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L32" sqref="L32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4" width="20.7109375" style="0" hidden="1" customWidth="1"/>
    <col min="5" max="5" width="4.140625" style="0" customWidth="1"/>
    <col min="6" max="7" width="20.7109375" style="0" customWidth="1"/>
    <col min="8" max="8" width="3.7109375" style="0" customWidth="1"/>
    <col min="9" max="10" width="22.140625" style="0" customWidth="1"/>
    <col min="11" max="11" width="4.140625" style="0" customWidth="1"/>
    <col min="12" max="12" width="16.57421875" style="0" customWidth="1"/>
    <col min="13" max="13" width="5.8515625" style="0" hidden="1" customWidth="1"/>
    <col min="14" max="14" width="5.7109375" style="0" hidden="1" customWidth="1"/>
    <col min="15" max="15" width="17.28125" style="0" hidden="1" customWidth="1"/>
    <col min="16" max="18" width="9.140625" style="0" hidden="1" customWidth="1"/>
    <col min="19" max="21" width="0" style="0" hidden="1" customWidth="1"/>
  </cols>
  <sheetData>
    <row r="1" ht="20.25">
      <c r="B1" s="6" t="s">
        <v>126</v>
      </c>
    </row>
    <row r="2" ht="12.75">
      <c r="B2" s="2"/>
    </row>
    <row r="3" s="51" customFormat="1" ht="15">
      <c r="B3" s="16" t="s">
        <v>225</v>
      </c>
    </row>
    <row r="4" spans="2:11" s="51" customFormat="1" ht="15">
      <c r="B4" s="16" t="s">
        <v>246</v>
      </c>
      <c r="K4" s="88"/>
    </row>
    <row r="5" spans="2:11" s="51" customFormat="1" ht="15">
      <c r="B5" s="89"/>
      <c r="K5" s="88"/>
    </row>
    <row r="6" spans="2:11" s="51" customFormat="1" ht="21" thickBot="1">
      <c r="B6" s="16"/>
      <c r="G6" s="193"/>
      <c r="I6" s="126"/>
      <c r="J6" s="193"/>
      <c r="K6" s="88"/>
    </row>
    <row r="7" spans="3:11" s="51" customFormat="1" ht="15.75" thickBot="1">
      <c r="C7" s="238" t="s">
        <v>87</v>
      </c>
      <c r="D7" s="239"/>
      <c r="E7" s="185"/>
      <c r="F7" s="238" t="s">
        <v>87</v>
      </c>
      <c r="G7" s="239"/>
      <c r="I7" s="238" t="s">
        <v>128</v>
      </c>
      <c r="J7" s="239"/>
      <c r="K7" s="60"/>
    </row>
    <row r="8" spans="3:11" s="51" customFormat="1" ht="12.75" customHeight="1">
      <c r="C8" s="240" t="s">
        <v>142</v>
      </c>
      <c r="D8" s="240" t="s">
        <v>158</v>
      </c>
      <c r="E8" s="56"/>
      <c r="F8" s="240" t="s">
        <v>142</v>
      </c>
      <c r="G8" s="240" t="s">
        <v>241</v>
      </c>
      <c r="H8" s="55"/>
      <c r="I8" s="240" t="s">
        <v>251</v>
      </c>
      <c r="J8" s="240" t="s">
        <v>240</v>
      </c>
      <c r="K8" s="60"/>
    </row>
    <row r="9" spans="3:11" s="51" customFormat="1" ht="15">
      <c r="C9" s="241"/>
      <c r="D9" s="241"/>
      <c r="E9" s="56"/>
      <c r="F9" s="241"/>
      <c r="G9" s="242"/>
      <c r="H9" s="55"/>
      <c r="I9" s="241"/>
      <c r="J9" s="242"/>
      <c r="K9" s="60"/>
    </row>
    <row r="10" spans="3:11" s="51" customFormat="1" ht="15">
      <c r="C10" s="241"/>
      <c r="D10" s="241"/>
      <c r="E10" s="56"/>
      <c r="F10" s="241"/>
      <c r="G10" s="242"/>
      <c r="H10" s="55"/>
      <c r="I10" s="241"/>
      <c r="J10" s="242"/>
      <c r="K10" s="60"/>
    </row>
    <row r="11" spans="3:11" s="51" customFormat="1" ht="31.5" customHeight="1">
      <c r="C11" s="241"/>
      <c r="D11" s="241"/>
      <c r="E11" s="56"/>
      <c r="F11" s="241"/>
      <c r="G11" s="242"/>
      <c r="H11" s="55"/>
      <c r="I11" s="241"/>
      <c r="J11" s="242"/>
      <c r="K11" s="60"/>
    </row>
    <row r="12" spans="3:15" s="51" customFormat="1" ht="15">
      <c r="C12" s="57" t="s">
        <v>242</v>
      </c>
      <c r="D12" s="57" t="s">
        <v>143</v>
      </c>
      <c r="E12" s="57"/>
      <c r="F12" s="57" t="s">
        <v>247</v>
      </c>
      <c r="G12" s="57" t="s">
        <v>159</v>
      </c>
      <c r="H12" s="58"/>
      <c r="I12" s="57" t="s">
        <v>247</v>
      </c>
      <c r="J12" s="57" t="s">
        <v>159</v>
      </c>
      <c r="K12" s="60"/>
      <c r="O12" s="132" t="s">
        <v>143</v>
      </c>
    </row>
    <row r="13" spans="3:15" s="51" customFormat="1" ht="15">
      <c r="C13" s="58" t="s">
        <v>0</v>
      </c>
      <c r="D13" s="58" t="s">
        <v>0</v>
      </c>
      <c r="E13" s="58"/>
      <c r="F13" s="58" t="s">
        <v>0</v>
      </c>
      <c r="G13" s="58" t="s">
        <v>0</v>
      </c>
      <c r="H13" s="58"/>
      <c r="I13" s="58" t="s">
        <v>0</v>
      </c>
      <c r="J13" s="58" t="s">
        <v>0</v>
      </c>
      <c r="K13" s="60"/>
      <c r="O13" s="105" t="s">
        <v>0</v>
      </c>
    </row>
    <row r="14" spans="4:15" s="51" customFormat="1" ht="15">
      <c r="D14" s="58"/>
      <c r="E14" s="58"/>
      <c r="F14" s="58"/>
      <c r="G14" s="58"/>
      <c r="H14" s="58"/>
      <c r="J14" s="58"/>
      <c r="O14" s="105"/>
    </row>
    <row r="15" spans="2:15" s="51" customFormat="1" ht="15">
      <c r="B15" s="16" t="s">
        <v>1</v>
      </c>
      <c r="C15" s="136">
        <v>70743</v>
      </c>
      <c r="D15" s="59">
        <v>23671</v>
      </c>
      <c r="E15" s="59"/>
      <c r="F15" s="133">
        <f>I15-C15</f>
        <v>28040.399149999983</v>
      </c>
      <c r="G15" s="59">
        <f>J15-D15</f>
        <v>25287.222999999998</v>
      </c>
      <c r="H15" s="59"/>
      <c r="I15" s="133">
        <f>'[7]1conso-YTD'!$V$12</f>
        <v>98783.39914999998</v>
      </c>
      <c r="J15" s="59">
        <f>48958223/1000</f>
        <v>48958.223</v>
      </c>
      <c r="K15" s="60"/>
      <c r="O15" s="105">
        <v>23670.793759999993</v>
      </c>
    </row>
    <row r="16" spans="3:15" s="51" customFormat="1" ht="14.25">
      <c r="C16" s="137"/>
      <c r="D16" s="59"/>
      <c r="E16" s="59"/>
      <c r="F16" s="133"/>
      <c r="G16" s="59"/>
      <c r="H16" s="59"/>
      <c r="I16" s="133"/>
      <c r="J16" s="59"/>
      <c r="K16" s="60"/>
      <c r="O16" s="105"/>
    </row>
    <row r="17" spans="2:15" s="51" customFormat="1" ht="14.25">
      <c r="B17" s="51" t="s">
        <v>32</v>
      </c>
      <c r="C17" s="136">
        <v>-38234</v>
      </c>
      <c r="D17" s="59">
        <v>-11785</v>
      </c>
      <c r="E17" s="59"/>
      <c r="F17" s="133">
        <f>I17-C17</f>
        <v>-17958.169660000007</v>
      </c>
      <c r="G17" s="59">
        <f>J17-D17</f>
        <v>-16830.403</v>
      </c>
      <c r="H17" s="59"/>
      <c r="I17" s="133">
        <f>'[7]1conso-YTD'!$V$13</f>
        <v>-56192.16966000001</v>
      </c>
      <c r="J17" s="59">
        <f>-28615403/1000</f>
        <v>-28615.403</v>
      </c>
      <c r="K17" s="60"/>
      <c r="O17" s="105">
        <v>-11784.867779999999</v>
      </c>
    </row>
    <row r="18" spans="2:15" s="51" customFormat="1" ht="14.25">
      <c r="B18" s="60"/>
      <c r="C18" s="138"/>
      <c r="D18" s="61"/>
      <c r="E18" s="184"/>
      <c r="F18" s="186"/>
      <c r="G18" s="61"/>
      <c r="H18" s="59"/>
      <c r="I18" s="143"/>
      <c r="J18" s="61"/>
      <c r="K18" s="60"/>
      <c r="O18" s="105"/>
    </row>
    <row r="19" spans="2:17" s="51" customFormat="1" ht="15">
      <c r="B19" s="63" t="s">
        <v>33</v>
      </c>
      <c r="C19" s="137">
        <f>+C15+C17</f>
        <v>32509</v>
      </c>
      <c r="D19" s="59">
        <f>+D15+D17</f>
        <v>11886</v>
      </c>
      <c r="E19" s="59"/>
      <c r="F19" s="133">
        <f>SUM(F15:F18)</f>
        <v>10082.229489999976</v>
      </c>
      <c r="G19" s="59">
        <f>SUM(G15:G18)</f>
        <v>8456.82</v>
      </c>
      <c r="H19" s="59"/>
      <c r="I19" s="133">
        <f>+I15+I17</f>
        <v>42591.229489999976</v>
      </c>
      <c r="J19" s="64">
        <f>SUM(J15:J17)</f>
        <v>20342.82</v>
      </c>
      <c r="K19" s="60"/>
      <c r="M19" s="147">
        <f>C19/C15</f>
        <v>0.45953663259969185</v>
      </c>
      <c r="N19" s="147">
        <f>I19/I15</f>
        <v>0.43115776392070004</v>
      </c>
      <c r="O19" s="105">
        <v>11885.925979999995</v>
      </c>
      <c r="Q19" s="63" t="s">
        <v>33</v>
      </c>
    </row>
    <row r="20" spans="3:15" s="51" customFormat="1" ht="14.25">
      <c r="C20" s="139"/>
      <c r="D20" s="65"/>
      <c r="E20" s="65"/>
      <c r="F20" s="142"/>
      <c r="G20" s="65"/>
      <c r="H20" s="59"/>
      <c r="I20" s="142"/>
      <c r="J20" s="65"/>
      <c r="K20" s="60"/>
      <c r="O20" s="105"/>
    </row>
    <row r="21" spans="2:17" s="51" customFormat="1" ht="12.75" customHeight="1">
      <c r="B21" s="51" t="s">
        <v>52</v>
      </c>
      <c r="C21" s="136">
        <v>1474</v>
      </c>
      <c r="D21" s="65">
        <v>1359</v>
      </c>
      <c r="E21" s="65"/>
      <c r="F21" s="142">
        <f>I21-C21</f>
        <v>560.547</v>
      </c>
      <c r="G21" s="59">
        <f>J21-D21</f>
        <v>219.22800000000007</v>
      </c>
      <c r="H21" s="59"/>
      <c r="I21" s="142">
        <f>'[7]1conso-YTD'!$V$16</f>
        <v>2034.547</v>
      </c>
      <c r="J21" s="65">
        <f>1578228/1000</f>
        <v>1578.228</v>
      </c>
      <c r="K21" s="90"/>
      <c r="O21" s="105">
        <v>1358.941480000004</v>
      </c>
      <c r="Q21" s="51" t="s">
        <v>52</v>
      </c>
    </row>
    <row r="22" spans="3:15" s="51" customFormat="1" ht="12.75" customHeight="1">
      <c r="C22" s="136"/>
      <c r="D22" s="65"/>
      <c r="E22" s="65"/>
      <c r="F22" s="142"/>
      <c r="G22" s="59"/>
      <c r="H22" s="59"/>
      <c r="I22" s="142"/>
      <c r="J22" s="65"/>
      <c r="K22" s="90"/>
      <c r="O22" s="105"/>
    </row>
    <row r="23" spans="2:17" s="51" customFormat="1" ht="12.75" customHeight="1">
      <c r="B23" s="51" t="s">
        <v>140</v>
      </c>
      <c r="C23" s="136">
        <f>-12670-980</f>
        <v>-13650</v>
      </c>
      <c r="D23" s="65">
        <v>-4047</v>
      </c>
      <c r="E23" s="65"/>
      <c r="F23" s="142">
        <f>I23-C23</f>
        <v>-3762.6647300000004</v>
      </c>
      <c r="G23" s="59">
        <f>J23-D23-1</f>
        <v>-1696.6139999999996</v>
      </c>
      <c r="H23" s="59"/>
      <c r="I23" s="142">
        <f>'[7]1conso-YTD'!$V$18+'[7]1conso-YTD'!$V$19+1</f>
        <v>-17412.66473</v>
      </c>
      <c r="J23" s="65">
        <f>-(5593531+208751+1381389-1410509-29548)/1000+1</f>
        <v>-5742.614</v>
      </c>
      <c r="K23" s="90"/>
      <c r="O23" s="105">
        <v>-4046.5124700000015</v>
      </c>
      <c r="Q23" s="51" t="s">
        <v>140</v>
      </c>
    </row>
    <row r="24" spans="3:15" s="51" customFormat="1" ht="12.75" customHeight="1">
      <c r="C24" s="136"/>
      <c r="D24" s="65"/>
      <c r="E24" s="65"/>
      <c r="F24" s="142"/>
      <c r="G24" s="65"/>
      <c r="H24" s="59"/>
      <c r="I24" s="142"/>
      <c r="J24" s="65"/>
      <c r="K24" s="90"/>
      <c r="O24" s="105"/>
    </row>
    <row r="25" spans="2:17" s="51" customFormat="1" ht="12.75" customHeight="1">
      <c r="B25" s="51" t="s">
        <v>139</v>
      </c>
      <c r="C25" s="136">
        <v>-2674</v>
      </c>
      <c r="D25" s="65">
        <v>-682</v>
      </c>
      <c r="E25" s="65"/>
      <c r="F25" s="142">
        <f>I25-C25</f>
        <v>-1106.1789399999993</v>
      </c>
      <c r="G25" s="59">
        <f>J25-D25</f>
        <v>-758.057</v>
      </c>
      <c r="H25" s="59"/>
      <c r="I25" s="142">
        <f>'[7]1conso-YTD'!$V$20</f>
        <v>-3780.1789399999993</v>
      </c>
      <c r="J25" s="65">
        <f>-(1410509+29548)/1000</f>
        <v>-1440.057</v>
      </c>
      <c r="K25" s="90"/>
      <c r="O25" s="105">
        <v>-681.92669</v>
      </c>
      <c r="Q25" s="51" t="s">
        <v>139</v>
      </c>
    </row>
    <row r="26" spans="2:17" s="51" customFormat="1" ht="14.25">
      <c r="B26" s="66"/>
      <c r="C26" s="136"/>
      <c r="D26" s="65"/>
      <c r="E26" s="65"/>
      <c r="F26" s="142"/>
      <c r="G26" s="59"/>
      <c r="H26" s="59"/>
      <c r="I26" s="142"/>
      <c r="J26" s="65"/>
      <c r="K26" s="60"/>
      <c r="O26" s="105"/>
      <c r="Q26" s="66"/>
    </row>
    <row r="27" spans="2:17" s="51" customFormat="1" ht="14.25">
      <c r="B27" s="51" t="s">
        <v>53</v>
      </c>
      <c r="C27" s="136">
        <v>-1853</v>
      </c>
      <c r="D27" s="65">
        <v>-938</v>
      </c>
      <c r="E27" s="65"/>
      <c r="F27" s="142">
        <f>I27-C27</f>
        <v>-411.00949000000037</v>
      </c>
      <c r="G27" s="59">
        <f>J27-D27</f>
        <v>-30.611999999999966</v>
      </c>
      <c r="H27" s="65"/>
      <c r="I27" s="142">
        <f>'[7]1conso-YTD'!$V$25</f>
        <v>-2264.0094900000004</v>
      </c>
      <c r="J27" s="65">
        <f>-968612/1000</f>
        <v>-968.612</v>
      </c>
      <c r="K27" s="60"/>
      <c r="O27" s="105">
        <v>-937.79819</v>
      </c>
      <c r="Q27" s="51" t="s">
        <v>53</v>
      </c>
    </row>
    <row r="28" spans="3:15" s="51" customFormat="1" ht="14.25">
      <c r="C28" s="140"/>
      <c r="D28" s="62"/>
      <c r="E28" s="65"/>
      <c r="F28" s="143"/>
      <c r="G28" s="62"/>
      <c r="H28" s="59"/>
      <c r="I28" s="143"/>
      <c r="J28" s="62"/>
      <c r="K28" s="90"/>
      <c r="O28" s="105"/>
    </row>
    <row r="29" spans="2:18" s="51" customFormat="1" ht="15">
      <c r="B29" s="16" t="s">
        <v>131</v>
      </c>
      <c r="C29" s="137">
        <f>SUM(C19:C27)</f>
        <v>15806</v>
      </c>
      <c r="D29" s="59">
        <f>SUM(D19:D27)</f>
        <v>7578</v>
      </c>
      <c r="E29" s="59"/>
      <c r="F29" s="133">
        <f>SUM(F19:F28)</f>
        <v>5362.923329999976</v>
      </c>
      <c r="G29" s="59">
        <f>SUM(G19:G28)-1</f>
        <v>6189.764999999999</v>
      </c>
      <c r="H29" s="59"/>
      <c r="I29" s="133">
        <f>SUM(I19:I27)</f>
        <v>21168.923329999976</v>
      </c>
      <c r="J29" s="59">
        <f>SUM(J19:J28)-1</f>
        <v>13768.765</v>
      </c>
      <c r="K29" s="60"/>
      <c r="M29" s="147">
        <f>C29/C15</f>
        <v>0.22342846642070593</v>
      </c>
      <c r="N29" s="147">
        <f>I29/I15</f>
        <v>0.21429636469439087</v>
      </c>
      <c r="O29" s="105">
        <v>7577.630109999996</v>
      </c>
      <c r="Q29" s="16" t="s">
        <v>131</v>
      </c>
      <c r="R29" s="119"/>
    </row>
    <row r="30" spans="3:15" s="51" customFormat="1" ht="14.25">
      <c r="C30" s="137"/>
      <c r="D30" s="59"/>
      <c r="E30" s="59"/>
      <c r="F30" s="133"/>
      <c r="G30" s="59"/>
      <c r="H30" s="59"/>
      <c r="I30" s="133"/>
      <c r="J30" s="59"/>
      <c r="K30" s="60"/>
      <c r="O30" s="105"/>
    </row>
    <row r="31" spans="2:17" s="51" customFormat="1" ht="14.25">
      <c r="B31" s="51" t="s">
        <v>34</v>
      </c>
      <c r="C31" s="136">
        <v>-3414</v>
      </c>
      <c r="D31" s="65">
        <v>-1821</v>
      </c>
      <c r="E31" s="65"/>
      <c r="F31" s="142">
        <f>I31-C31</f>
        <v>-1561.979809999999</v>
      </c>
      <c r="G31" s="59">
        <f>J31-D31</f>
        <v>-1928.6529999999998</v>
      </c>
      <c r="H31" s="59"/>
      <c r="I31" s="142">
        <f>'[7]1conso-YTD'!$V$27</f>
        <v>-4975.979809999999</v>
      </c>
      <c r="J31" s="65">
        <f>-3749653/1000</f>
        <v>-3749.653</v>
      </c>
      <c r="K31" s="60"/>
      <c r="O31" s="105">
        <v>-1821.0964013993403</v>
      </c>
      <c r="Q31" s="51" t="s">
        <v>34</v>
      </c>
    </row>
    <row r="32" spans="3:15" s="51" customFormat="1" ht="14.25">
      <c r="C32" s="140"/>
      <c r="D32" s="62"/>
      <c r="E32" s="65"/>
      <c r="F32" s="142"/>
      <c r="G32" s="65"/>
      <c r="H32" s="59"/>
      <c r="I32" s="143"/>
      <c r="J32" s="62"/>
      <c r="K32" s="90"/>
      <c r="O32" s="105"/>
    </row>
    <row r="33" spans="2:17" s="51" customFormat="1" ht="15.75" thickBot="1">
      <c r="B33" s="16" t="s">
        <v>132</v>
      </c>
      <c r="C33" s="141">
        <f>SUM(C29:C32)</f>
        <v>12392</v>
      </c>
      <c r="D33" s="67">
        <f>SUM(D29:D32)</f>
        <v>5757</v>
      </c>
      <c r="E33" s="65"/>
      <c r="F33" s="134">
        <f>SUM(F29:F32)</f>
        <v>3800.943519999977</v>
      </c>
      <c r="G33" s="67">
        <f>SUM(G29:G32)</f>
        <v>4261.111999999999</v>
      </c>
      <c r="H33" s="59"/>
      <c r="I33" s="134">
        <f>SUM(I29:I32)</f>
        <v>16192.943519999977</v>
      </c>
      <c r="J33" s="67">
        <f>SUM(J29:J32)</f>
        <v>10019.112</v>
      </c>
      <c r="K33" s="60"/>
      <c r="M33" s="147">
        <f>C33/C15</f>
        <v>0.17516927469855675</v>
      </c>
      <c r="N33" s="147">
        <f>I33/I15</f>
        <v>0.1639237327256923</v>
      </c>
      <c r="O33" s="105">
        <v>5756.533708600657</v>
      </c>
      <c r="Q33" s="16" t="s">
        <v>132</v>
      </c>
    </row>
    <row r="34" spans="2:17" s="51" customFormat="1" ht="15.75" thickTop="1">
      <c r="B34" s="16"/>
      <c r="C34" s="139"/>
      <c r="D34" s="65"/>
      <c r="E34" s="65"/>
      <c r="F34" s="142"/>
      <c r="G34" s="65"/>
      <c r="H34" s="59"/>
      <c r="I34" s="142"/>
      <c r="J34" s="65"/>
      <c r="K34" s="60"/>
      <c r="M34" s="147"/>
      <c r="N34" s="147"/>
      <c r="O34" s="105"/>
      <c r="Q34" s="16"/>
    </row>
    <row r="35" spans="2:17" s="51" customFormat="1" ht="15">
      <c r="B35" s="16" t="s">
        <v>226</v>
      </c>
      <c r="C35" s="139">
        <v>0</v>
      </c>
      <c r="D35" s="65">
        <v>0</v>
      </c>
      <c r="E35" s="65"/>
      <c r="F35" s="200">
        <f>I35-C35</f>
        <v>0</v>
      </c>
      <c r="G35" s="201">
        <v>0</v>
      </c>
      <c r="H35" s="202"/>
      <c r="I35" s="200">
        <v>0</v>
      </c>
      <c r="J35" s="201">
        <f>G35</f>
        <v>0</v>
      </c>
      <c r="K35" s="60"/>
      <c r="M35" s="147"/>
      <c r="N35" s="147"/>
      <c r="O35" s="105"/>
      <c r="Q35" s="16"/>
    </row>
    <row r="36" spans="2:17" s="51" customFormat="1" ht="15">
      <c r="B36" s="16"/>
      <c r="C36" s="139"/>
      <c r="D36" s="65"/>
      <c r="E36" s="65"/>
      <c r="F36" s="200"/>
      <c r="G36" s="201"/>
      <c r="H36" s="202"/>
      <c r="I36" s="200"/>
      <c r="J36" s="201"/>
      <c r="K36" s="60"/>
      <c r="M36" s="147"/>
      <c r="N36" s="147"/>
      <c r="O36" s="105"/>
      <c r="Q36" s="16"/>
    </row>
    <row r="37" spans="2:17" s="51" customFormat="1" ht="15">
      <c r="B37" s="16" t="s">
        <v>227</v>
      </c>
      <c r="C37" s="181">
        <f>SUM(C35:C36)</f>
        <v>0</v>
      </c>
      <c r="D37" s="182">
        <f>SUM(D35:D36)</f>
        <v>0</v>
      </c>
      <c r="E37" s="65"/>
      <c r="F37" s="203">
        <f>SUM(F35:F36)</f>
        <v>0</v>
      </c>
      <c r="G37" s="204">
        <f>SUM(G35:G36)</f>
        <v>0</v>
      </c>
      <c r="H37" s="202"/>
      <c r="I37" s="203">
        <f>SUM(I35:I36)</f>
        <v>0</v>
      </c>
      <c r="J37" s="204">
        <f>G37</f>
        <v>0</v>
      </c>
      <c r="K37" s="60"/>
      <c r="M37" s="147"/>
      <c r="N37" s="147"/>
      <c r="O37" s="105"/>
      <c r="Q37" s="16"/>
    </row>
    <row r="38" spans="2:17" s="51" customFormat="1" ht="15">
      <c r="B38" s="16"/>
      <c r="C38" s="139"/>
      <c r="D38" s="65"/>
      <c r="E38" s="65"/>
      <c r="F38" s="142"/>
      <c r="G38" s="65"/>
      <c r="H38" s="59"/>
      <c r="I38" s="142"/>
      <c r="J38" s="65"/>
      <c r="K38" s="60"/>
      <c r="M38" s="147"/>
      <c r="N38" s="147"/>
      <c r="O38" s="105"/>
      <c r="Q38" s="16"/>
    </row>
    <row r="39" spans="2:17" s="51" customFormat="1" ht="15.75" thickBot="1">
      <c r="B39" s="16" t="s">
        <v>228</v>
      </c>
      <c r="C39" s="183">
        <f>C33</f>
        <v>12392</v>
      </c>
      <c r="D39" s="117">
        <f>D33</f>
        <v>5757</v>
      </c>
      <c r="E39" s="65"/>
      <c r="F39" s="144">
        <f>F33</f>
        <v>3800.943519999977</v>
      </c>
      <c r="G39" s="117">
        <f>G33</f>
        <v>4261.111999999999</v>
      </c>
      <c r="H39" s="59"/>
      <c r="I39" s="144">
        <f>I33</f>
        <v>16192.943519999977</v>
      </c>
      <c r="J39" s="117">
        <f>J33</f>
        <v>10019.112</v>
      </c>
      <c r="K39" s="60"/>
      <c r="M39" s="147"/>
      <c r="N39" s="147"/>
      <c r="O39" s="105"/>
      <c r="Q39" s="16"/>
    </row>
    <row r="40" spans="2:17" s="51" customFormat="1" ht="15.75" thickTop="1">
      <c r="B40" s="16"/>
      <c r="C40" s="139"/>
      <c r="D40" s="65"/>
      <c r="E40" s="65"/>
      <c r="F40" s="142"/>
      <c r="G40" s="65"/>
      <c r="H40" s="59"/>
      <c r="I40" s="142"/>
      <c r="J40" s="65"/>
      <c r="K40" s="60"/>
      <c r="M40" s="147"/>
      <c r="N40" s="147"/>
      <c r="O40" s="105"/>
      <c r="Q40" s="16"/>
    </row>
    <row r="41" spans="2:17" s="51" customFormat="1" ht="15">
      <c r="B41" s="16" t="s">
        <v>237</v>
      </c>
      <c r="C41" s="139"/>
      <c r="D41" s="65"/>
      <c r="E41" s="65"/>
      <c r="F41" s="142"/>
      <c r="G41" s="65"/>
      <c r="H41" s="59"/>
      <c r="I41" s="142"/>
      <c r="J41" s="65"/>
      <c r="K41" s="60"/>
      <c r="M41" s="147"/>
      <c r="N41" s="147"/>
      <c r="O41" s="105"/>
      <c r="Q41" s="16"/>
    </row>
    <row r="42" spans="2:17" s="51" customFormat="1" ht="15">
      <c r="B42" s="16"/>
      <c r="C42" s="139"/>
      <c r="D42" s="65"/>
      <c r="E42" s="65"/>
      <c r="F42" s="142"/>
      <c r="G42" s="65"/>
      <c r="H42" s="59"/>
      <c r="I42" s="142"/>
      <c r="J42" s="65"/>
      <c r="K42" s="60"/>
      <c r="M42" s="147"/>
      <c r="N42" s="147"/>
      <c r="O42" s="105"/>
      <c r="Q42" s="16"/>
    </row>
    <row r="43" spans="2:17" s="51" customFormat="1" ht="15">
      <c r="B43" s="51" t="s">
        <v>238</v>
      </c>
      <c r="C43" s="139">
        <f>C39</f>
        <v>12392</v>
      </c>
      <c r="D43" s="65">
        <f>D39</f>
        <v>5757</v>
      </c>
      <c r="E43" s="65"/>
      <c r="F43" s="142">
        <f>F39</f>
        <v>3800.943519999977</v>
      </c>
      <c r="G43" s="65">
        <f>G39</f>
        <v>4261.111999999999</v>
      </c>
      <c r="H43" s="59"/>
      <c r="I43" s="142">
        <f>I39</f>
        <v>16192.943519999977</v>
      </c>
      <c r="J43" s="65">
        <f>J39</f>
        <v>10019.112</v>
      </c>
      <c r="K43" s="60"/>
      <c r="M43" s="147"/>
      <c r="N43" s="147"/>
      <c r="O43" s="105"/>
      <c r="Q43" s="16"/>
    </row>
    <row r="44" spans="3:17" s="51" customFormat="1" ht="15">
      <c r="C44" s="139"/>
      <c r="D44" s="65"/>
      <c r="E44" s="65"/>
      <c r="F44" s="142"/>
      <c r="G44" s="65"/>
      <c r="H44" s="59"/>
      <c r="I44" s="142"/>
      <c r="J44" s="65"/>
      <c r="K44" s="60"/>
      <c r="M44" s="147"/>
      <c r="N44" s="147"/>
      <c r="O44" s="105"/>
      <c r="Q44" s="16"/>
    </row>
    <row r="45" spans="2:17" s="51" customFormat="1" ht="15">
      <c r="B45" s="51" t="s">
        <v>239</v>
      </c>
      <c r="C45" s="139">
        <v>-5</v>
      </c>
      <c r="D45" s="65">
        <v>0</v>
      </c>
      <c r="E45" s="65"/>
      <c r="F45" s="227">
        <f>I45-C45</f>
        <v>0.591863</v>
      </c>
      <c r="G45" s="228">
        <f>J45-D45</f>
        <v>2</v>
      </c>
      <c r="H45" s="59"/>
      <c r="I45" s="142">
        <f>-'[6]1conso-YTD'!$Q$29+2</f>
        <v>-4.408137</v>
      </c>
      <c r="J45" s="65">
        <v>2</v>
      </c>
      <c r="K45" s="60"/>
      <c r="M45" s="147"/>
      <c r="N45" s="147"/>
      <c r="O45" s="105"/>
      <c r="Q45" s="16"/>
    </row>
    <row r="46" spans="2:17" s="51" customFormat="1" ht="15">
      <c r="B46" s="16"/>
      <c r="C46" s="139"/>
      <c r="D46" s="65"/>
      <c r="E46" s="65"/>
      <c r="F46" s="142"/>
      <c r="G46" s="65"/>
      <c r="H46" s="59"/>
      <c r="I46" s="142"/>
      <c r="J46" s="65"/>
      <c r="K46" s="60"/>
      <c r="M46" s="147"/>
      <c r="N46" s="147"/>
      <c r="O46" s="105"/>
      <c r="Q46" s="16"/>
    </row>
    <row r="47" spans="2:17" s="51" customFormat="1" ht="15.75" thickBot="1">
      <c r="B47" s="51" t="s">
        <v>229</v>
      </c>
      <c r="C47" s="141">
        <f>SUM(C43:C46)</f>
        <v>12387</v>
      </c>
      <c r="D47" s="67">
        <f>SUM(D43:D46)</f>
        <v>5757</v>
      </c>
      <c r="E47" s="65"/>
      <c r="F47" s="134">
        <f>SUM(F43:F46)</f>
        <v>3801.535382999977</v>
      </c>
      <c r="G47" s="67">
        <f>SUM(G43:G46)</f>
        <v>4263.111999999999</v>
      </c>
      <c r="H47" s="59"/>
      <c r="I47" s="134">
        <f>SUM(I43:I46)</f>
        <v>16188.535382999977</v>
      </c>
      <c r="J47" s="67">
        <f>SUM(J43:J46)</f>
        <v>10021.112</v>
      </c>
      <c r="K47" s="60"/>
      <c r="M47" s="147"/>
      <c r="N47" s="147"/>
      <c r="O47" s="105"/>
      <c r="Q47" s="16"/>
    </row>
    <row r="48" spans="2:17" s="51" customFormat="1" ht="15.75" thickTop="1">
      <c r="B48" s="51" t="s">
        <v>230</v>
      </c>
      <c r="C48" s="139"/>
      <c r="D48" s="65"/>
      <c r="E48" s="65"/>
      <c r="F48" s="142"/>
      <c r="G48" s="65"/>
      <c r="H48" s="59"/>
      <c r="I48" s="142"/>
      <c r="J48" s="65"/>
      <c r="K48" s="60"/>
      <c r="M48" s="147"/>
      <c r="N48" s="147"/>
      <c r="O48" s="105"/>
      <c r="Q48" s="16"/>
    </row>
    <row r="49" spans="2:17" s="51" customFormat="1" ht="15">
      <c r="B49" s="16"/>
      <c r="C49" s="139"/>
      <c r="D49" s="65"/>
      <c r="E49" s="65"/>
      <c r="F49" s="142"/>
      <c r="G49" s="65"/>
      <c r="H49" s="59"/>
      <c r="I49" s="142"/>
      <c r="J49" s="65"/>
      <c r="K49" s="60"/>
      <c r="M49" s="147"/>
      <c r="N49" s="147"/>
      <c r="O49" s="105"/>
      <c r="Q49" s="16"/>
    </row>
    <row r="50" spans="2:11" s="51" customFormat="1" ht="14.25">
      <c r="B50" s="54" t="s">
        <v>149</v>
      </c>
      <c r="C50" s="65"/>
      <c r="D50" s="65"/>
      <c r="E50" s="65"/>
      <c r="F50" s="142"/>
      <c r="G50" s="65"/>
      <c r="H50" s="59"/>
      <c r="I50" s="65"/>
      <c r="J50" s="65"/>
      <c r="K50" s="90"/>
    </row>
    <row r="51" spans="2:11" s="51" customFormat="1" ht="14.25">
      <c r="B51" s="54" t="s">
        <v>150</v>
      </c>
      <c r="C51" s="191">
        <f>'[3]EPS'!$E$19</f>
        <v>90000</v>
      </c>
      <c r="D51" s="64">
        <v>64194</v>
      </c>
      <c r="E51" s="190"/>
      <c r="F51" s="191">
        <f>'[3]EPS'!$E$19</f>
        <v>90000</v>
      </c>
      <c r="G51" s="64">
        <f>F51</f>
        <v>90000</v>
      </c>
      <c r="H51" s="64"/>
      <c r="I51" s="191">
        <f>C51</f>
        <v>90000</v>
      </c>
      <c r="J51" s="64">
        <f>55065754/1000</f>
        <v>55065.754</v>
      </c>
      <c r="K51" s="90"/>
    </row>
    <row r="52" spans="2:11" s="51" customFormat="1" ht="14.25">
      <c r="B52" s="54"/>
      <c r="C52" s="191"/>
      <c r="D52" s="184"/>
      <c r="E52" s="184"/>
      <c r="F52" s="191"/>
      <c r="G52" s="184"/>
      <c r="H52" s="64"/>
      <c r="I52" s="191"/>
      <c r="J52" s="184"/>
      <c r="K52" s="90"/>
    </row>
    <row r="53" spans="2:11" s="51" customFormat="1" ht="14.25">
      <c r="B53" s="51" t="s">
        <v>231</v>
      </c>
      <c r="C53" s="192">
        <f>C47/C51*100</f>
        <v>13.763333333333334</v>
      </c>
      <c r="D53" s="190">
        <f>D47/D51*100</f>
        <v>8.968127862417049</v>
      </c>
      <c r="E53" s="190"/>
      <c r="F53" s="192">
        <f>F39/F51*100</f>
        <v>4.223270577777752</v>
      </c>
      <c r="G53" s="190">
        <f>G39/G51*100</f>
        <v>4.734568888888888</v>
      </c>
      <c r="H53" s="64"/>
      <c r="I53" s="192">
        <f>I39/I51*100</f>
        <v>17.992159466666642</v>
      </c>
      <c r="J53" s="190">
        <f>J39/J51*100</f>
        <v>18.1948148753216</v>
      </c>
      <c r="K53" s="60"/>
    </row>
    <row r="54" s="51" customFormat="1" ht="14.25">
      <c r="K54" s="60"/>
    </row>
    <row r="55" spans="3:11" s="51" customFormat="1" ht="14.25">
      <c r="C55" s="68"/>
      <c r="D55" s="68"/>
      <c r="E55" s="68"/>
      <c r="F55" s="68"/>
      <c r="G55" s="68"/>
      <c r="H55" s="68"/>
      <c r="I55" s="68"/>
      <c r="J55" s="68"/>
      <c r="K55" s="60"/>
    </row>
    <row r="56" s="51" customFormat="1" ht="15">
      <c r="B56" s="69" t="s">
        <v>82</v>
      </c>
    </row>
    <row r="57" s="51" customFormat="1" ht="14.25">
      <c r="B57" s="51" t="s">
        <v>101</v>
      </c>
    </row>
    <row r="58" spans="1:2" s="51" customFormat="1" ht="18">
      <c r="A58" s="124" t="s">
        <v>129</v>
      </c>
      <c r="B58" s="123" t="s">
        <v>144</v>
      </c>
    </row>
    <row r="59" spans="1:2" s="51" customFormat="1" ht="18">
      <c r="A59" s="123"/>
      <c r="B59" s="125" t="s">
        <v>145</v>
      </c>
    </row>
    <row r="60" spans="1:2" s="51" customFormat="1" ht="11.25" customHeight="1">
      <c r="A60" s="123"/>
      <c r="B60" s="123"/>
    </row>
    <row r="61" spans="1:2" s="51" customFormat="1" ht="18">
      <c r="A61" s="122" t="s">
        <v>130</v>
      </c>
      <c r="B61" s="123" t="s">
        <v>232</v>
      </c>
    </row>
    <row r="62" spans="1:2" s="51" customFormat="1" ht="18">
      <c r="A62" s="123"/>
      <c r="B62" s="123" t="s">
        <v>234</v>
      </c>
    </row>
    <row r="63" spans="1:2" s="51" customFormat="1" ht="15.75" customHeight="1">
      <c r="A63" s="123"/>
      <c r="B63" s="123" t="s">
        <v>101</v>
      </c>
    </row>
    <row r="64" spans="1:2" s="51" customFormat="1" ht="15.75" customHeight="1">
      <c r="A64" s="122" t="s">
        <v>263</v>
      </c>
      <c r="B64" s="123" t="s">
        <v>264</v>
      </c>
    </row>
    <row r="65" spans="2:10" ht="16.5" customHeight="1">
      <c r="B65" s="123" t="s">
        <v>265</v>
      </c>
      <c r="C65" s="38"/>
      <c r="D65" s="38"/>
      <c r="E65" s="38"/>
      <c r="F65" s="38"/>
      <c r="G65" s="38"/>
      <c r="H65" s="38"/>
      <c r="I65" s="38"/>
      <c r="J65" s="38"/>
    </row>
    <row r="66" spans="2:10" ht="12.75">
      <c r="B66" s="38"/>
      <c r="C66" s="38"/>
      <c r="D66" s="38"/>
      <c r="E66" s="38"/>
      <c r="F66" s="38"/>
      <c r="G66" s="38"/>
      <c r="H66" s="38"/>
      <c r="I66" s="38"/>
      <c r="J66" s="38"/>
    </row>
    <row r="67" ht="12.75">
      <c r="J67" s="38"/>
    </row>
    <row r="70" ht="12.75">
      <c r="C70" t="s">
        <v>25</v>
      </c>
    </row>
    <row r="94" spans="2:9" ht="12.75">
      <c r="B94" s="38"/>
      <c r="C94" s="120">
        <f>'[2]weighted avr share'!$O$19/1000</f>
        <v>0</v>
      </c>
      <c r="D94" s="38"/>
      <c r="E94" s="38"/>
      <c r="F94" s="38"/>
      <c r="G94" s="38"/>
      <c r="H94" s="38"/>
      <c r="I94" s="120">
        <f>'[2]weighted avr share'!$O$36/1000</f>
        <v>0</v>
      </c>
    </row>
  </sheetData>
  <sheetProtection/>
  <mergeCells count="9">
    <mergeCell ref="I7:J7"/>
    <mergeCell ref="C7:D7"/>
    <mergeCell ref="I8:I11"/>
    <mergeCell ref="D8:D11"/>
    <mergeCell ref="C8:C11"/>
    <mergeCell ref="J8:J11"/>
    <mergeCell ref="F7:G7"/>
    <mergeCell ref="F8:F11"/>
    <mergeCell ref="G8:G11"/>
  </mergeCells>
  <printOptions gridLines="1"/>
  <pageMargins left="0.22" right="0.17" top="0.17" bottom="0.16" header="0.17" footer="0.1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49" t="s">
        <v>160</v>
      </c>
      <c r="C1" s="148"/>
      <c r="D1" s="148"/>
    </row>
    <row r="2" spans="2:4" ht="15">
      <c r="B2" s="149" t="s">
        <v>161</v>
      </c>
      <c r="C2" s="148"/>
      <c r="D2" s="148"/>
    </row>
    <row r="3" spans="2:4" ht="15">
      <c r="B3" s="154"/>
      <c r="C3" s="154"/>
      <c r="D3" s="150">
        <v>2009</v>
      </c>
    </row>
    <row r="4" spans="2:4" ht="15">
      <c r="B4" s="150"/>
      <c r="C4" s="154"/>
      <c r="D4" s="150" t="s">
        <v>162</v>
      </c>
    </row>
    <row r="5" spans="2:4" ht="15">
      <c r="B5" s="154"/>
      <c r="C5" s="154"/>
      <c r="D5" s="150"/>
    </row>
    <row r="6" spans="2:4" ht="15">
      <c r="B6" s="154" t="s">
        <v>35</v>
      </c>
      <c r="C6" s="154"/>
      <c r="D6" s="150"/>
    </row>
    <row r="7" spans="2:4" ht="15">
      <c r="B7" s="154" t="s">
        <v>36</v>
      </c>
      <c r="C7" s="155"/>
      <c r="D7" s="151"/>
    </row>
    <row r="8" spans="2:4" ht="14.25">
      <c r="B8" s="155" t="s">
        <v>114</v>
      </c>
      <c r="C8" s="155">
        <v>4</v>
      </c>
      <c r="D8" s="156">
        <v>27432609</v>
      </c>
    </row>
    <row r="9" spans="2:4" ht="14.25">
      <c r="B9" s="155" t="s">
        <v>163</v>
      </c>
      <c r="C9" s="155">
        <v>5</v>
      </c>
      <c r="D9" s="156">
        <v>2517123</v>
      </c>
    </row>
    <row r="10" spans="2:4" ht="15" thickBot="1">
      <c r="B10" s="155" t="s">
        <v>164</v>
      </c>
      <c r="C10" s="155">
        <v>6</v>
      </c>
      <c r="D10" s="157">
        <v>373969</v>
      </c>
    </row>
    <row r="11" spans="2:4" ht="15" thickBot="1">
      <c r="B11" s="155"/>
      <c r="C11" s="155"/>
      <c r="D11" s="157">
        <v>30323701</v>
      </c>
    </row>
    <row r="12" spans="2:4" ht="14.25">
      <c r="B12" s="155"/>
      <c r="C12" s="155"/>
      <c r="D12" s="151"/>
    </row>
    <row r="13" spans="2:4" ht="15">
      <c r="B13" s="154" t="s">
        <v>165</v>
      </c>
      <c r="C13" s="155"/>
      <c r="D13" s="151"/>
    </row>
    <row r="14" spans="2:4" ht="14.25">
      <c r="B14" s="155" t="s">
        <v>56</v>
      </c>
      <c r="C14" s="155"/>
      <c r="D14" s="156">
        <v>5552350</v>
      </c>
    </row>
    <row r="15" spans="2:4" ht="14.25">
      <c r="B15" s="155" t="s">
        <v>55</v>
      </c>
      <c r="C15" s="155"/>
      <c r="D15" s="156">
        <v>16242532</v>
      </c>
    </row>
    <row r="16" spans="2:4" ht="14.25">
      <c r="B16" s="155" t="s">
        <v>116</v>
      </c>
      <c r="C16" s="155">
        <v>7</v>
      </c>
      <c r="D16" s="156">
        <v>16697047</v>
      </c>
    </row>
    <row r="17" spans="2:4" ht="14.25">
      <c r="B17" s="155" t="s">
        <v>166</v>
      </c>
      <c r="C17" s="155">
        <v>8</v>
      </c>
      <c r="D17" s="156">
        <v>969346</v>
      </c>
    </row>
    <row r="18" spans="2:4" ht="14.25">
      <c r="B18" s="155" t="s">
        <v>167</v>
      </c>
      <c r="C18" s="155"/>
      <c r="D18" s="156">
        <v>641291</v>
      </c>
    </row>
    <row r="19" spans="2:4" ht="14.25">
      <c r="B19" s="155" t="s">
        <v>168</v>
      </c>
      <c r="C19" s="155">
        <v>9</v>
      </c>
      <c r="D19" s="156">
        <v>8538068</v>
      </c>
    </row>
    <row r="20" spans="2:4" ht="14.25">
      <c r="B20" s="155" t="s">
        <v>83</v>
      </c>
      <c r="C20" s="155">
        <v>10</v>
      </c>
      <c r="D20" s="156">
        <v>19711108</v>
      </c>
    </row>
    <row r="21" spans="2:4" ht="15" thickBot="1">
      <c r="B21" s="155" t="s">
        <v>169</v>
      </c>
      <c r="C21" s="155"/>
      <c r="D21" s="157">
        <v>3199333</v>
      </c>
    </row>
    <row r="22" spans="2:4" ht="15" thickBot="1">
      <c r="B22" s="155"/>
      <c r="C22" s="155"/>
      <c r="D22" s="157">
        <v>71551075</v>
      </c>
    </row>
    <row r="23" spans="2:4" ht="14.25">
      <c r="B23" s="155"/>
      <c r="C23" s="155"/>
      <c r="D23" s="151"/>
    </row>
    <row r="24" spans="2:4" ht="15.75" thickBot="1">
      <c r="B24" s="154" t="s">
        <v>170</v>
      </c>
      <c r="C24" s="155"/>
      <c r="D24" s="158">
        <v>101874776</v>
      </c>
    </row>
    <row r="25" spans="2:4" ht="15" thickTop="1">
      <c r="B25" s="155"/>
      <c r="C25" s="155"/>
      <c r="D25" s="151"/>
    </row>
    <row r="26" spans="2:4" ht="15">
      <c r="B26" s="154" t="s">
        <v>38</v>
      </c>
      <c r="C26" s="155"/>
      <c r="D26" s="151"/>
    </row>
    <row r="27" spans="2:4" ht="30">
      <c r="B27" s="154" t="s">
        <v>171</v>
      </c>
      <c r="C27" s="155"/>
      <c r="D27" s="151"/>
    </row>
    <row r="28" spans="2:4" ht="14.25">
      <c r="B28" s="155" t="s">
        <v>59</v>
      </c>
      <c r="C28" s="155">
        <v>11</v>
      </c>
      <c r="D28" s="156">
        <v>45000000</v>
      </c>
    </row>
    <row r="29" spans="2:4" ht="15" thickBot="1">
      <c r="B29" s="155" t="s">
        <v>118</v>
      </c>
      <c r="C29" s="155">
        <v>12</v>
      </c>
      <c r="D29" s="157">
        <v>11565078</v>
      </c>
    </row>
    <row r="30" spans="2:4" ht="15.75" thickBot="1">
      <c r="B30" s="154" t="s">
        <v>64</v>
      </c>
      <c r="C30" s="155"/>
      <c r="D30" s="157">
        <v>56565078</v>
      </c>
    </row>
    <row r="31" spans="2:4" ht="14.25">
      <c r="B31" s="155"/>
      <c r="C31" s="155"/>
      <c r="D31" s="151"/>
    </row>
    <row r="32" spans="2:4" ht="15">
      <c r="B32" s="154" t="s">
        <v>39</v>
      </c>
      <c r="C32" s="155"/>
      <c r="D32" s="151"/>
    </row>
    <row r="33" spans="2:4" ht="14.25">
      <c r="B33" s="155" t="s">
        <v>60</v>
      </c>
      <c r="C33" s="155">
        <v>13</v>
      </c>
      <c r="D33" s="156">
        <v>345789</v>
      </c>
    </row>
    <row r="34" spans="2:4" ht="14.25">
      <c r="B34" s="155" t="s">
        <v>172</v>
      </c>
      <c r="C34" s="155">
        <v>14</v>
      </c>
      <c r="D34" s="156">
        <v>16586846</v>
      </c>
    </row>
    <row r="35" spans="2:4" ht="15" thickBot="1">
      <c r="B35" s="155" t="s">
        <v>120</v>
      </c>
      <c r="C35" s="155">
        <v>15</v>
      </c>
      <c r="D35" s="157">
        <v>1143700</v>
      </c>
    </row>
    <row r="36" spans="2:4" ht="15" thickBot="1">
      <c r="B36" s="155"/>
      <c r="C36" s="155"/>
      <c r="D36" s="157">
        <v>18076335</v>
      </c>
    </row>
    <row r="37" spans="2:4" ht="14.25">
      <c r="B37" s="155"/>
      <c r="C37" s="155"/>
      <c r="D37" s="151"/>
    </row>
    <row r="38" spans="2:4" ht="15">
      <c r="B38" s="154" t="s">
        <v>173</v>
      </c>
      <c r="C38" s="155"/>
      <c r="D38" s="151"/>
    </row>
    <row r="39" spans="2:4" ht="14.25">
      <c r="B39" s="155" t="s">
        <v>174</v>
      </c>
      <c r="C39" s="155">
        <v>16</v>
      </c>
      <c r="D39" s="156">
        <v>8748757</v>
      </c>
    </row>
    <row r="40" spans="2:4" ht="14.25">
      <c r="B40" s="155" t="s">
        <v>121</v>
      </c>
      <c r="C40" s="155"/>
      <c r="D40" s="156">
        <v>2966428</v>
      </c>
    </row>
    <row r="41" spans="2:4" ht="14.25">
      <c r="B41" s="155" t="s">
        <v>60</v>
      </c>
      <c r="C41" s="155">
        <v>13</v>
      </c>
      <c r="D41" s="156">
        <v>127863</v>
      </c>
    </row>
    <row r="42" spans="2:4" ht="14.25">
      <c r="B42" s="155" t="s">
        <v>172</v>
      </c>
      <c r="C42" s="155">
        <v>14</v>
      </c>
      <c r="D42" s="156">
        <v>14173873</v>
      </c>
    </row>
    <row r="43" spans="2:4" ht="15" thickBot="1">
      <c r="B43" s="155" t="s">
        <v>175</v>
      </c>
      <c r="C43" s="155"/>
      <c r="D43" s="157">
        <v>1216442</v>
      </c>
    </row>
    <row r="44" spans="2:4" ht="15" thickBot="1">
      <c r="B44" s="155"/>
      <c r="C44" s="155"/>
      <c r="D44" s="157">
        <v>27233363</v>
      </c>
    </row>
    <row r="45" spans="2:4" ht="14.25">
      <c r="B45" s="155"/>
      <c r="C45" s="155"/>
      <c r="D45" s="151"/>
    </row>
    <row r="46" spans="2:4" ht="15.75" thickBot="1">
      <c r="B46" s="154" t="s">
        <v>176</v>
      </c>
      <c r="C46" s="155"/>
      <c r="D46" s="157">
        <v>45309698</v>
      </c>
    </row>
    <row r="47" spans="2:4" ht="15.75" thickBot="1">
      <c r="B47" s="154" t="s">
        <v>177</v>
      </c>
      <c r="C47" s="155"/>
      <c r="D47" s="158">
        <v>101874776</v>
      </c>
    </row>
    <row r="48" spans="2:4" ht="13.5" thickTop="1">
      <c r="B48" s="152"/>
      <c r="C48" s="152"/>
      <c r="D48" s="159"/>
    </row>
    <row r="49" ht="14.25">
      <c r="B49" s="15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40">
      <selection activeCell="B69" sqref="B69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43" t="str">
        <f>+'Income statement'!B1</f>
        <v>HANDAL RESOURCES  BERHAD (816839-X)</v>
      </c>
      <c r="C1" s="243"/>
      <c r="D1" s="243"/>
      <c r="E1" s="243"/>
      <c r="F1" s="243"/>
      <c r="G1" s="243"/>
      <c r="H1" s="243"/>
    </row>
    <row r="2" spans="2:8" ht="18">
      <c r="B2" s="3"/>
      <c r="C2" s="3"/>
      <c r="D2" s="3"/>
      <c r="E2" s="3"/>
      <c r="F2" s="3"/>
      <c r="G2" s="3"/>
      <c r="H2" s="3"/>
    </row>
    <row r="3" spans="2:8" s="72" customFormat="1" ht="15.75">
      <c r="B3" s="70" t="s">
        <v>222</v>
      </c>
      <c r="C3" s="71"/>
      <c r="D3" s="71"/>
      <c r="E3" s="71"/>
      <c r="F3" s="71"/>
      <c r="G3" s="71"/>
      <c r="H3" s="71"/>
    </row>
    <row r="4" s="72" customFormat="1" ht="15.75">
      <c r="B4" s="70" t="s">
        <v>248</v>
      </c>
    </row>
    <row r="5" s="72" customFormat="1" ht="15"/>
    <row r="6" spans="3:7" s="72" customFormat="1" ht="15.75">
      <c r="C6" s="73" t="s">
        <v>80</v>
      </c>
      <c r="D6" s="73"/>
      <c r="E6" s="73" t="s">
        <v>80</v>
      </c>
      <c r="F6" s="73"/>
      <c r="G6" s="73" t="s">
        <v>123</v>
      </c>
    </row>
    <row r="7" spans="3:7" s="72" customFormat="1" ht="15.75">
      <c r="C7" s="73" t="s">
        <v>81</v>
      </c>
      <c r="D7" s="73"/>
      <c r="E7" s="73" t="s">
        <v>81</v>
      </c>
      <c r="F7" s="73"/>
      <c r="G7" s="73" t="s">
        <v>81</v>
      </c>
    </row>
    <row r="8" spans="3:7" s="72" customFormat="1" ht="15.75">
      <c r="C8" s="73" t="str">
        <f>+'Income statement'!C12</f>
        <v>30 September 2010</v>
      </c>
      <c r="D8" s="73"/>
      <c r="E8" s="74" t="s">
        <v>247</v>
      </c>
      <c r="F8" s="73"/>
      <c r="G8" s="74" t="s">
        <v>159</v>
      </c>
    </row>
    <row r="9" spans="3:7" s="72" customFormat="1" ht="15.75">
      <c r="C9" s="71" t="s">
        <v>3</v>
      </c>
      <c r="D9" s="71"/>
      <c r="E9" s="71" t="s">
        <v>3</v>
      </c>
      <c r="F9" s="71"/>
      <c r="G9" s="71" t="s">
        <v>3</v>
      </c>
    </row>
    <row r="10" spans="3:7" s="72" customFormat="1" ht="15.75">
      <c r="C10" s="71"/>
      <c r="D10" s="71"/>
      <c r="E10" s="71"/>
      <c r="F10" s="71"/>
      <c r="G10" s="71"/>
    </row>
    <row r="11" spans="2:7" s="72" customFormat="1" ht="15.75">
      <c r="B11" s="70" t="s">
        <v>35</v>
      </c>
      <c r="C11" s="71"/>
      <c r="D11" s="71"/>
      <c r="E11" s="71"/>
      <c r="F11" s="71"/>
      <c r="G11" s="71"/>
    </row>
    <row r="12" spans="2:7" s="72" customFormat="1" ht="15.75">
      <c r="B12" s="70" t="s">
        <v>36</v>
      </c>
      <c r="C12" s="108"/>
      <c r="D12" s="71"/>
      <c r="E12" s="71"/>
      <c r="F12" s="71"/>
      <c r="G12" s="71"/>
    </row>
    <row r="13" spans="2:8" s="72" customFormat="1" ht="12.75" customHeight="1">
      <c r="B13" s="75" t="s">
        <v>114</v>
      </c>
      <c r="C13" s="109">
        <f>'[4]1conso-YTD'!$N$65</f>
        <v>27678.76659</v>
      </c>
      <c r="D13" s="76"/>
      <c r="E13" s="109">
        <f>'[7]1conso-YTD'!$V$68</f>
        <v>27906.72377</v>
      </c>
      <c r="F13" s="76"/>
      <c r="G13" s="109">
        <f>'BS12.09'!D8/1000</f>
        <v>27432.609</v>
      </c>
      <c r="H13" s="77"/>
    </row>
    <row r="14" spans="2:8" s="72" customFormat="1" ht="15">
      <c r="B14" s="75" t="s">
        <v>115</v>
      </c>
      <c r="C14" s="109">
        <f>'[4]1conso-YTD'!$N$66</f>
        <v>2506.04367</v>
      </c>
      <c r="D14" s="76"/>
      <c r="E14" s="109">
        <f>'[7]1conso-YTD'!$V$69</f>
        <v>2470.7227999999996</v>
      </c>
      <c r="F14" s="76"/>
      <c r="G14" s="109">
        <f>'BS12.09'!D9/1000</f>
        <v>2517.123</v>
      </c>
      <c r="H14" s="78"/>
    </row>
    <row r="15" spans="2:8" s="72" customFormat="1" ht="15.75" thickBot="1">
      <c r="B15" s="75" t="s">
        <v>154</v>
      </c>
      <c r="C15" s="110">
        <f>'[4]1conso-YTD'!$N$71</f>
        <v>373.97199</v>
      </c>
      <c r="D15" s="76"/>
      <c r="E15" s="110">
        <f>'[7]1conso-YTD'!$V$74</f>
        <v>373.97199</v>
      </c>
      <c r="F15" s="76"/>
      <c r="G15" s="110">
        <f>'BS12.09'!D10/1000</f>
        <v>373.969</v>
      </c>
      <c r="H15" s="78"/>
    </row>
    <row r="16" spans="2:8" s="72" customFormat="1" ht="16.5" thickBot="1">
      <c r="B16" s="79"/>
      <c r="C16" s="110">
        <f>SUM(C13:C15)</f>
        <v>30558.782249999997</v>
      </c>
      <c r="D16" s="76"/>
      <c r="E16" s="118">
        <f>SUM(E13:E15)+1</f>
        <v>30752.41856</v>
      </c>
      <c r="F16" s="76"/>
      <c r="G16" s="110">
        <f>SUM(G13:G15)</f>
        <v>30323.701</v>
      </c>
      <c r="H16" s="78"/>
    </row>
    <row r="17" spans="2:8" s="72" customFormat="1" ht="15">
      <c r="B17" s="75"/>
      <c r="C17" s="111"/>
      <c r="D17" s="80"/>
      <c r="E17" s="111"/>
      <c r="F17" s="80"/>
      <c r="G17" s="111"/>
      <c r="H17" s="78"/>
    </row>
    <row r="18" spans="2:8" s="72" customFormat="1" ht="15">
      <c r="B18" s="75"/>
      <c r="C18" s="111"/>
      <c r="D18" s="80"/>
      <c r="E18" s="111"/>
      <c r="F18" s="80"/>
      <c r="G18" s="111"/>
      <c r="H18" s="78"/>
    </row>
    <row r="19" spans="2:8" s="72" customFormat="1" ht="15.75">
      <c r="B19" s="79" t="s">
        <v>4</v>
      </c>
      <c r="C19" s="111"/>
      <c r="D19" s="80"/>
      <c r="E19" s="111"/>
      <c r="F19" s="80"/>
      <c r="G19" s="111"/>
      <c r="H19" s="78"/>
    </row>
    <row r="20" spans="2:8" s="72" customFormat="1" ht="15">
      <c r="B20" s="78" t="s">
        <v>56</v>
      </c>
      <c r="C20" s="109">
        <f>'[4]1conso-YTD'!$N$75</f>
        <v>5239.74082</v>
      </c>
      <c r="D20" s="76"/>
      <c r="E20" s="109">
        <f>'[7]1conso-YTD'!$V$78</f>
        <v>6906.98149</v>
      </c>
      <c r="F20" s="76"/>
      <c r="G20" s="109">
        <f>'BS12.09'!D14/1000</f>
        <v>5552.35</v>
      </c>
      <c r="H20" s="78"/>
    </row>
    <row r="21" spans="2:8" s="72" customFormat="1" ht="15">
      <c r="B21" s="78" t="s">
        <v>266</v>
      </c>
      <c r="C21" s="109">
        <f>'[4]1conso-YTD'!$N$76</f>
        <v>199</v>
      </c>
      <c r="D21" s="76"/>
      <c r="E21" s="194">
        <f>'[7]1conso-YTD'!$V$79</f>
        <v>0</v>
      </c>
      <c r="F21" s="76"/>
      <c r="G21" s="109">
        <f>'BS12.09'!D17/1000</f>
        <v>969.346</v>
      </c>
      <c r="H21" s="78"/>
    </row>
    <row r="22" spans="2:8" s="72" customFormat="1" ht="15">
      <c r="B22" s="78" t="s">
        <v>55</v>
      </c>
      <c r="C22" s="109">
        <f>'[4]1conso-YTD'!$N$77</f>
        <v>17984.309699999994</v>
      </c>
      <c r="D22" s="76"/>
      <c r="E22" s="109">
        <f>'[7]1conso-YTD'!$V$80</f>
        <v>17501.429679999997</v>
      </c>
      <c r="F22" s="76"/>
      <c r="G22" s="109">
        <f>'BS12.09'!D15/1000</f>
        <v>16242.532</v>
      </c>
      <c r="H22" s="78"/>
    </row>
    <row r="23" spans="2:8" s="72" customFormat="1" ht="15">
      <c r="B23" s="78" t="s">
        <v>116</v>
      </c>
      <c r="C23" s="109">
        <f>'[4]1conso-YTD'!$N$78</f>
        <v>18688.837959999997</v>
      </c>
      <c r="D23" s="76"/>
      <c r="E23" s="109">
        <f>'[7]1conso-YTD'!$V$81</f>
        <v>28983.939970000003</v>
      </c>
      <c r="F23" s="76"/>
      <c r="G23" s="109">
        <f>'BS12.09'!D16/1000</f>
        <v>16697.047</v>
      </c>
      <c r="H23" s="78"/>
    </row>
    <row r="24" spans="2:8" s="72" customFormat="1" ht="15">
      <c r="B24" s="78" t="s">
        <v>57</v>
      </c>
      <c r="C24" s="109">
        <f>'[4]1conso-YTD'!$N$80+'[4]1conso-YTD'!$N$81+750</f>
        <v>1382.37885</v>
      </c>
      <c r="D24" s="76"/>
      <c r="E24" s="109">
        <f>'[7]1conso-YTD'!$V$83+'[7]1conso-YTD'!$V$84</f>
        <v>2820.19803</v>
      </c>
      <c r="F24" s="76"/>
      <c r="G24" s="109">
        <f>'BS12.09'!D18/1000</f>
        <v>641.291</v>
      </c>
      <c r="H24" s="78"/>
    </row>
    <row r="25" spans="2:8" s="72" customFormat="1" ht="15">
      <c r="B25" s="78" t="s">
        <v>117</v>
      </c>
      <c r="C25" s="109">
        <f>'[4]1conso-YTD'!$N$82</f>
        <v>29349.86621</v>
      </c>
      <c r="D25" s="76"/>
      <c r="E25" s="109">
        <f>'[7]1conso-YTD'!$V$85</f>
        <v>25978.04163</v>
      </c>
      <c r="F25" s="76"/>
      <c r="G25" s="109">
        <f>'BS12.09'!D20/1000+'BS12.09'!D19/1000</f>
        <v>28249.176</v>
      </c>
      <c r="H25" s="78"/>
    </row>
    <row r="26" spans="2:8" s="72" customFormat="1" ht="15.75" thickBot="1">
      <c r="B26" s="78" t="s">
        <v>151</v>
      </c>
      <c r="C26" s="121">
        <f>'[4]1conso-YTD'!$N$83</f>
        <v>3943.64952</v>
      </c>
      <c r="D26" s="76"/>
      <c r="E26" s="110">
        <f>'[7]1conso-YTD'!$V$86</f>
        <v>11912.03834</v>
      </c>
      <c r="F26" s="76"/>
      <c r="G26" s="110">
        <f>'BS12.09'!D21/1000</f>
        <v>3199.333</v>
      </c>
      <c r="H26" s="78"/>
    </row>
    <row r="27" spans="2:8" s="72" customFormat="1" ht="15.75" thickBot="1">
      <c r="B27" s="75"/>
      <c r="C27" s="110">
        <f>SUM(C20:C26)+0.5</f>
        <v>76788.28306</v>
      </c>
      <c r="D27" s="80"/>
      <c r="E27" s="118">
        <f>SUM(E20:E26)</f>
        <v>94102.62914</v>
      </c>
      <c r="F27" s="80"/>
      <c r="G27" s="110">
        <f>SUM(G20:G26)</f>
        <v>71551.075</v>
      </c>
      <c r="H27" s="78"/>
    </row>
    <row r="28" spans="2:8" s="72" customFormat="1" ht="15">
      <c r="B28" s="75"/>
      <c r="C28" s="111"/>
      <c r="D28" s="80"/>
      <c r="E28" s="111"/>
      <c r="F28" s="80"/>
      <c r="G28" s="111"/>
      <c r="H28" s="78"/>
    </row>
    <row r="29" spans="2:8" s="72" customFormat="1" ht="16.5" thickBot="1">
      <c r="B29" s="79" t="s">
        <v>37</v>
      </c>
      <c r="C29" s="112">
        <f>+C27+C16</f>
        <v>107347.06531</v>
      </c>
      <c r="D29" s="80"/>
      <c r="E29" s="112">
        <f>+E27+E16</f>
        <v>124855.0477</v>
      </c>
      <c r="F29" s="80"/>
      <c r="G29" s="112">
        <f>G16+G27</f>
        <v>101874.776</v>
      </c>
      <c r="H29" s="78"/>
    </row>
    <row r="30" spans="2:8" s="72" customFormat="1" ht="15.75" thickTop="1">
      <c r="B30" s="75"/>
      <c r="C30" s="111"/>
      <c r="D30" s="80"/>
      <c r="E30" s="111"/>
      <c r="F30" s="80"/>
      <c r="G30" s="111"/>
      <c r="H30" s="78"/>
    </row>
    <row r="31" spans="2:8" s="72" customFormat="1" ht="15.75">
      <c r="B31" s="79" t="s">
        <v>38</v>
      </c>
      <c r="C31" s="111"/>
      <c r="D31" s="80"/>
      <c r="E31" s="111"/>
      <c r="F31" s="80"/>
      <c r="G31" s="111"/>
      <c r="H31" s="78"/>
    </row>
    <row r="32" spans="2:8" s="72" customFormat="1" ht="15.75">
      <c r="B32" s="79" t="s">
        <v>58</v>
      </c>
      <c r="C32" s="111"/>
      <c r="D32" s="80"/>
      <c r="E32" s="111"/>
      <c r="F32" s="80"/>
      <c r="G32" s="111"/>
      <c r="H32" s="78"/>
    </row>
    <row r="33" spans="2:8" s="72" customFormat="1" ht="15">
      <c r="B33" s="78" t="s">
        <v>59</v>
      </c>
      <c r="C33" s="109">
        <f>'[4]1conso-YTD'!$N$95</f>
        <v>45000</v>
      </c>
      <c r="D33" s="76"/>
      <c r="E33" s="109">
        <f>'[7]1conso-YTD'!$V$99</f>
        <v>45000</v>
      </c>
      <c r="F33" s="76"/>
      <c r="G33" s="109">
        <f>'BS12.09'!D28/1000</f>
        <v>45000</v>
      </c>
      <c r="H33" s="78"/>
    </row>
    <row r="34" spans="2:8" s="72" customFormat="1" ht="15">
      <c r="B34" s="78" t="s">
        <v>146</v>
      </c>
      <c r="C34" s="109">
        <f>'[4]1conso-YTD'!$N$97</f>
        <v>1549.57636</v>
      </c>
      <c r="D34" s="76"/>
      <c r="E34" s="109">
        <f>'[7]1conso-YTD'!$V$101</f>
        <v>1549.57636</v>
      </c>
      <c r="F34" s="76"/>
      <c r="G34" s="109">
        <v>1550</v>
      </c>
      <c r="H34" s="78"/>
    </row>
    <row r="35" spans="2:8" s="72" customFormat="1" ht="15.75" thickBot="1">
      <c r="B35" s="78" t="s">
        <v>118</v>
      </c>
      <c r="C35" s="110">
        <f>'[4]1conso-YTD'!$N$98+750</f>
        <v>12847.421649</v>
      </c>
      <c r="D35" s="76"/>
      <c r="E35" s="110">
        <f>'[7]1conso-YTD'!$V$102</f>
        <v>24404.887289999995</v>
      </c>
      <c r="F35" s="76"/>
      <c r="G35" s="110">
        <v>10016</v>
      </c>
      <c r="H35" s="78"/>
    </row>
    <row r="36" spans="2:8" s="72" customFormat="1" ht="15">
      <c r="B36" s="78" t="s">
        <v>156</v>
      </c>
      <c r="C36" s="145">
        <f>SUM(C33:C35)</f>
        <v>59396.998009</v>
      </c>
      <c r="D36" s="80"/>
      <c r="E36" s="111">
        <f>SUM(E33:E35)+1</f>
        <v>70955.46364999999</v>
      </c>
      <c r="F36" s="80"/>
      <c r="G36" s="145">
        <f>SUM(G33:G35)</f>
        <v>56566</v>
      </c>
      <c r="H36" s="78"/>
    </row>
    <row r="37" spans="2:8" s="72" customFormat="1" ht="15">
      <c r="B37" s="78" t="s">
        <v>157</v>
      </c>
      <c r="C37" s="109">
        <f>'[4]1conso-YTD'!$N$101</f>
        <v>-2.369579</v>
      </c>
      <c r="D37" s="76"/>
      <c r="E37" s="109">
        <f>'[7]1conso-YTD'!$V$105</f>
        <v>12.60508</v>
      </c>
      <c r="F37" s="76"/>
      <c r="G37" s="194">
        <v>0</v>
      </c>
      <c r="H37" s="78"/>
    </row>
    <row r="38" spans="2:8" s="72" customFormat="1" ht="15">
      <c r="B38" s="78"/>
      <c r="C38" s="111"/>
      <c r="D38" s="80"/>
      <c r="E38" s="111"/>
      <c r="F38" s="80"/>
      <c r="G38" s="111"/>
      <c r="H38" s="78"/>
    </row>
    <row r="39" spans="2:8" s="72" customFormat="1" ht="15.75" thickBot="1">
      <c r="B39" s="78" t="s">
        <v>124</v>
      </c>
      <c r="C39" s="146">
        <f>SUM(C36:C38)</f>
        <v>59394.628430000004</v>
      </c>
      <c r="D39" s="80"/>
      <c r="E39" s="146">
        <f>SUM(E36:E38)</f>
        <v>70968.06872999998</v>
      </c>
      <c r="F39" s="80"/>
      <c r="G39" s="146">
        <f>SUM(G36:G38)</f>
        <v>56566</v>
      </c>
      <c r="H39" s="78"/>
    </row>
    <row r="40" spans="2:8" s="72" customFormat="1" ht="15.75">
      <c r="B40" s="81"/>
      <c r="C40" s="109"/>
      <c r="D40" s="80"/>
      <c r="E40" s="111"/>
      <c r="F40" s="80"/>
      <c r="G40" s="109"/>
      <c r="H40" s="78"/>
    </row>
    <row r="41" spans="2:8" s="72" customFormat="1" ht="15.75">
      <c r="B41" s="81" t="s">
        <v>39</v>
      </c>
      <c r="C41" s="109"/>
      <c r="D41" s="80"/>
      <c r="E41" s="111"/>
      <c r="F41" s="80"/>
      <c r="G41" s="109"/>
      <c r="H41" s="78"/>
    </row>
    <row r="42" spans="2:8" s="72" customFormat="1" ht="15">
      <c r="B42" s="78" t="s">
        <v>60</v>
      </c>
      <c r="C42" s="109">
        <f>'[4]1conso-YTD'!$N$106</f>
        <v>128</v>
      </c>
      <c r="D42" s="76"/>
      <c r="E42" s="109">
        <f>'[7]1conso-YTD'!$V$110</f>
        <v>128</v>
      </c>
      <c r="F42" s="76"/>
      <c r="G42" s="109">
        <f>'BS12.09'!D33/1000</f>
        <v>345.789</v>
      </c>
      <c r="H42" s="78"/>
    </row>
    <row r="43" spans="2:8" s="72" customFormat="1" ht="15">
      <c r="B43" s="78" t="s">
        <v>119</v>
      </c>
      <c r="C43" s="109">
        <f>'[4]1conso-YTD'!$N$107-5000</f>
        <v>16845.727010000002</v>
      </c>
      <c r="D43" s="76"/>
      <c r="E43" s="109">
        <f>'[7]1conso-YTD'!$V$111</f>
        <v>23118.78269</v>
      </c>
      <c r="F43" s="76"/>
      <c r="G43" s="109">
        <f>'BS12.09'!D34/1000</f>
        <v>16586.846</v>
      </c>
      <c r="H43" s="78"/>
    </row>
    <row r="44" spans="2:8" s="72" customFormat="1" ht="15.75" thickBot="1">
      <c r="B44" s="78" t="s">
        <v>120</v>
      </c>
      <c r="C44" s="110">
        <f>'[4]1conso-YTD'!$N$108</f>
        <v>1143.5</v>
      </c>
      <c r="D44" s="76"/>
      <c r="E44" s="110">
        <f>'[7]1conso-YTD'!$V$112</f>
        <v>1593</v>
      </c>
      <c r="F44" s="76"/>
      <c r="G44" s="110">
        <f>'BS12.09'!D35/1000</f>
        <v>1143.7</v>
      </c>
      <c r="H44" s="78"/>
    </row>
    <row r="45" spans="2:8" s="72" customFormat="1" ht="16.5" thickBot="1">
      <c r="B45" s="81"/>
      <c r="C45" s="110">
        <f>SUM(C42:C44)</f>
        <v>18117.227010000002</v>
      </c>
      <c r="D45" s="80"/>
      <c r="E45" s="118">
        <f>SUM(E42:E44)</f>
        <v>24839.78269</v>
      </c>
      <c r="F45" s="80"/>
      <c r="G45" s="118">
        <f>SUM(G42:G44)</f>
        <v>18076.335000000003</v>
      </c>
      <c r="H45" s="78"/>
    </row>
    <row r="46" spans="2:8" s="72" customFormat="1" ht="15.75">
      <c r="B46" s="81"/>
      <c r="C46" s="109"/>
      <c r="D46" s="80"/>
      <c r="E46" s="111"/>
      <c r="F46" s="80"/>
      <c r="G46" s="109"/>
      <c r="H46" s="78"/>
    </row>
    <row r="47" spans="2:8" s="72" customFormat="1" ht="15.75">
      <c r="B47" s="81" t="s">
        <v>40</v>
      </c>
      <c r="C47" s="111"/>
      <c r="D47" s="80"/>
      <c r="E47" s="111"/>
      <c r="F47" s="80"/>
      <c r="G47" s="111"/>
      <c r="H47" s="78"/>
    </row>
    <row r="48" spans="2:8" s="72" customFormat="1" ht="15">
      <c r="B48" s="78" t="s">
        <v>267</v>
      </c>
      <c r="C48" s="111"/>
      <c r="D48" s="80"/>
      <c r="E48" s="111">
        <f>'[7]1conso-YTD'!$V$115</f>
        <v>146.38081</v>
      </c>
      <c r="F48" s="80"/>
      <c r="G48" s="195">
        <v>0</v>
      </c>
      <c r="H48" s="78"/>
    </row>
    <row r="49" spans="2:8" s="72" customFormat="1" ht="15">
      <c r="B49" s="75" t="s">
        <v>61</v>
      </c>
      <c r="C49" s="109">
        <f>'[4]1conso-YTD'!$N$111</f>
        <v>8518.03714</v>
      </c>
      <c r="D49" s="76"/>
      <c r="E49" s="109">
        <f>'[7]1conso-YTD'!$V$116</f>
        <v>10172.95425</v>
      </c>
      <c r="F49" s="76"/>
      <c r="G49" s="109">
        <f>'BS12.09'!D39/1000</f>
        <v>8748.757</v>
      </c>
      <c r="H49" s="78"/>
    </row>
    <row r="50" spans="2:8" s="72" customFormat="1" ht="15">
      <c r="B50" s="75" t="s">
        <v>121</v>
      </c>
      <c r="C50" s="109">
        <f>'[4]1conso-YTD'!$N$112</f>
        <v>2186.2584</v>
      </c>
      <c r="D50" s="76"/>
      <c r="E50" s="109">
        <f>'[7]1conso-YTD'!$V$117</f>
        <v>6671.61048</v>
      </c>
      <c r="F50" s="76"/>
      <c r="G50" s="109">
        <f>'BS12.09'!D40/1000-1</f>
        <v>2965.428</v>
      </c>
      <c r="H50" s="78"/>
    </row>
    <row r="51" spans="2:8" s="72" customFormat="1" ht="15">
      <c r="B51" s="75" t="s">
        <v>60</v>
      </c>
      <c r="C51" s="109">
        <f>'[4]1conso-YTD'!$N$113</f>
        <v>311.98563</v>
      </c>
      <c r="D51" s="76"/>
      <c r="E51" s="109">
        <f>'[7]1conso-YTD'!$V$118</f>
        <v>217.78871999999996</v>
      </c>
      <c r="F51" s="76"/>
      <c r="G51" s="109">
        <f>'BS12.09'!D41/1000</f>
        <v>127.863</v>
      </c>
      <c r="H51" s="78"/>
    </row>
    <row r="52" spans="2:8" s="72" customFormat="1" ht="15">
      <c r="B52" s="75" t="s">
        <v>62</v>
      </c>
      <c r="C52" s="109">
        <f>'[4]1conso-YTD'!$N$114+5000</f>
        <v>17328.22855</v>
      </c>
      <c r="D52" s="76"/>
      <c r="E52" s="109">
        <f>'[7]1conso-YTD'!$V$119</f>
        <v>11295.887120000003</v>
      </c>
      <c r="F52" s="76"/>
      <c r="G52" s="109">
        <f>'BS12.09'!D42/1000</f>
        <v>14173.873</v>
      </c>
      <c r="H52" s="78"/>
    </row>
    <row r="53" spans="2:8" s="72" customFormat="1" ht="15.75" thickBot="1">
      <c r="B53" s="75" t="s">
        <v>63</v>
      </c>
      <c r="C53" s="109">
        <f>'[4]1conso-YTD'!$N$115</f>
        <v>1489.59725</v>
      </c>
      <c r="D53" s="76"/>
      <c r="E53" s="110">
        <f>'[7]1conso-YTD'!$V$120</f>
        <v>542.10256</v>
      </c>
      <c r="F53" s="76"/>
      <c r="G53" s="110">
        <f>'BS12.09'!D43/1000</f>
        <v>1216.442</v>
      </c>
      <c r="H53" s="78"/>
    </row>
    <row r="54" spans="2:8" s="72" customFormat="1" ht="15.75" thickBot="1">
      <c r="B54" s="78"/>
      <c r="C54" s="118">
        <f>SUM(C49:C53)</f>
        <v>29834.10697</v>
      </c>
      <c r="D54" s="80"/>
      <c r="E54" s="118">
        <f>SUM(E48:E53)</f>
        <v>29046.723940000003</v>
      </c>
      <c r="F54" s="80"/>
      <c r="G54" s="118">
        <f>SUM(G48:G53)</f>
        <v>27232.362999999998</v>
      </c>
      <c r="H54" s="78"/>
    </row>
    <row r="55" spans="2:8" s="72" customFormat="1" ht="12.75" customHeight="1">
      <c r="B55" s="78"/>
      <c r="C55" s="111"/>
      <c r="D55" s="80"/>
      <c r="E55" s="111"/>
      <c r="F55" s="80"/>
      <c r="G55" s="111"/>
      <c r="H55" s="78"/>
    </row>
    <row r="56" spans="2:8" s="72" customFormat="1" ht="15.75">
      <c r="B56" s="81" t="s">
        <v>41</v>
      </c>
      <c r="C56" s="111">
        <f>+C54+C45</f>
        <v>47951.33398</v>
      </c>
      <c r="D56" s="80"/>
      <c r="E56" s="111">
        <f>+E54+E45</f>
        <v>53886.50663</v>
      </c>
      <c r="F56" s="80"/>
      <c r="G56" s="111">
        <f>G45+G54</f>
        <v>45308.698000000004</v>
      </c>
      <c r="H56" s="78"/>
    </row>
    <row r="57" spans="3:8" s="72" customFormat="1" ht="12.75" customHeight="1">
      <c r="C57" s="111"/>
      <c r="D57" s="80"/>
      <c r="E57" s="111"/>
      <c r="F57" s="80"/>
      <c r="G57" s="111"/>
      <c r="H57" s="78"/>
    </row>
    <row r="58" spans="2:8" s="72" customFormat="1" ht="16.5" thickBot="1">
      <c r="B58" s="70" t="s">
        <v>42</v>
      </c>
      <c r="C58" s="112">
        <f>C56+C39</f>
        <v>107345.96241000001</v>
      </c>
      <c r="D58" s="73"/>
      <c r="E58" s="112">
        <f>E56+E39</f>
        <v>124854.57535999999</v>
      </c>
      <c r="F58" s="73"/>
      <c r="G58" s="112">
        <f>G39+G56</f>
        <v>101874.698</v>
      </c>
      <c r="H58" s="78"/>
    </row>
    <row r="59" spans="2:8" s="72" customFormat="1" ht="16.5" thickTop="1">
      <c r="B59" s="70"/>
      <c r="C59" s="76"/>
      <c r="D59" s="80"/>
      <c r="E59" s="80"/>
      <c r="F59" s="80"/>
      <c r="G59" s="76"/>
      <c r="H59" s="78"/>
    </row>
    <row r="60" spans="2:8" s="72" customFormat="1" ht="15.75">
      <c r="B60" s="70"/>
      <c r="D60" s="76"/>
      <c r="E60" s="76"/>
      <c r="F60" s="76"/>
      <c r="G60" s="76"/>
      <c r="H60" s="78"/>
    </row>
    <row r="61" spans="2:8" s="72" customFormat="1" ht="15" hidden="1">
      <c r="B61" s="72" t="s">
        <v>6</v>
      </c>
      <c r="C61" s="82" t="e">
        <f>+(+#REF!-C17+#REF!)/43560</f>
        <v>#REF!</v>
      </c>
      <c r="D61" s="82"/>
      <c r="E61" s="82"/>
      <c r="F61" s="82"/>
      <c r="G61" s="82" t="e">
        <f>+(+#REF!-G17+#REF!)/43560</f>
        <v>#REF!</v>
      </c>
      <c r="H61" s="78"/>
    </row>
    <row r="62" spans="2:8" s="72" customFormat="1" ht="15">
      <c r="B62" s="244" t="s">
        <v>133</v>
      </c>
      <c r="C62" s="82"/>
      <c r="D62" s="82"/>
      <c r="E62" s="82"/>
      <c r="F62" s="82"/>
      <c r="G62" s="82"/>
      <c r="H62" s="78"/>
    </row>
    <row r="63" spans="2:8" s="72" customFormat="1" ht="15">
      <c r="B63" s="244"/>
      <c r="C63" s="82">
        <f>+C36/90000</f>
        <v>0.6599666445444444</v>
      </c>
      <c r="D63" s="82"/>
      <c r="E63" s="82">
        <f>+E36/90000</f>
        <v>0.7883940405555554</v>
      </c>
      <c r="F63" s="82"/>
      <c r="G63" s="82">
        <f>G36/90000</f>
        <v>0.6285111111111111</v>
      </c>
      <c r="H63" s="78"/>
    </row>
    <row r="64" s="72" customFormat="1" ht="9.75" customHeight="1">
      <c r="B64" s="83"/>
    </row>
    <row r="65" spans="1:11" s="72" customFormat="1" ht="15">
      <c r="A65" s="84" t="s">
        <v>129</v>
      </c>
      <c r="B65" s="72" t="s">
        <v>223</v>
      </c>
      <c r="C65" s="85"/>
      <c r="D65" s="85"/>
      <c r="E65" s="85"/>
      <c r="F65" s="85"/>
      <c r="G65" s="85"/>
      <c r="H65" s="85"/>
      <c r="I65" s="85"/>
      <c r="J65" s="85"/>
      <c r="K65" s="85"/>
    </row>
    <row r="66" spans="2:11" s="72" customFormat="1" ht="15">
      <c r="B66" s="72" t="s">
        <v>224</v>
      </c>
      <c r="C66" s="85"/>
      <c r="D66" s="85"/>
      <c r="E66" s="85"/>
      <c r="F66" s="85"/>
      <c r="G66" s="85"/>
      <c r="H66" s="85"/>
      <c r="I66" s="85"/>
      <c r="J66" s="85"/>
      <c r="K66" s="85"/>
    </row>
    <row r="67" spans="2:11" s="72" customFormat="1" ht="15">
      <c r="B67" s="78"/>
      <c r="C67" s="85"/>
      <c r="D67" s="85"/>
      <c r="E67" s="85"/>
      <c r="F67" s="85"/>
      <c r="G67" s="85"/>
      <c r="H67" s="85"/>
      <c r="I67" s="85"/>
      <c r="J67" s="85"/>
      <c r="K67" s="85"/>
    </row>
    <row r="68" spans="1:9" s="72" customFormat="1" ht="15">
      <c r="A68" s="84" t="s">
        <v>130</v>
      </c>
      <c r="B68" s="72" t="s">
        <v>134</v>
      </c>
      <c r="C68" s="86"/>
      <c r="D68" s="86"/>
      <c r="E68" s="86"/>
      <c r="F68" s="86"/>
      <c r="G68" s="86"/>
      <c r="H68" s="86"/>
      <c r="I68" s="86"/>
    </row>
    <row r="69" spans="2:9" s="72" customFormat="1" ht="15">
      <c r="B69" s="87" t="s">
        <v>268</v>
      </c>
      <c r="C69" s="86"/>
      <c r="D69" s="86"/>
      <c r="E69" s="86"/>
      <c r="F69" s="86"/>
      <c r="G69" s="86"/>
      <c r="H69" s="86"/>
      <c r="I69" s="86"/>
    </row>
    <row r="70" spans="2:9" ht="12.75">
      <c r="B70" s="38"/>
      <c r="C70" s="11"/>
      <c r="D70" s="38"/>
      <c r="E70" s="38"/>
      <c r="F70" s="38"/>
      <c r="G70" s="38"/>
      <c r="H70" s="38"/>
      <c r="I70" s="38"/>
    </row>
    <row r="71" ht="12.75">
      <c r="C71" s="135"/>
    </row>
    <row r="75" ht="12.75">
      <c r="C75" s="135"/>
    </row>
  </sheetData>
  <sheetProtection/>
  <mergeCells count="2">
    <mergeCell ref="B1:H1"/>
    <mergeCell ref="B62:B63"/>
  </mergeCells>
  <printOptions gridLines="1"/>
  <pageMargins left="0.36" right="0.17" top="0.3" bottom="0.2" header="0.22" footer="0.1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.140625" style="93" customWidth="1"/>
    <col min="2" max="2" width="43.57421875" style="93" customWidth="1"/>
    <col min="3" max="6" width="18.7109375" style="93" customWidth="1"/>
    <col min="7" max="7" width="22.7109375" style="93" customWidth="1"/>
    <col min="8" max="8" width="18.7109375" style="93" customWidth="1"/>
    <col min="9" max="16384" width="9.140625" style="93" customWidth="1"/>
  </cols>
  <sheetData>
    <row r="1" ht="20.25">
      <c r="B1" s="92" t="str">
        <f>+'Income statement'!B1</f>
        <v>HANDAL RESOURCES  BERHAD (816839-X)</v>
      </c>
    </row>
    <row r="2" ht="15" customHeight="1"/>
    <row r="3" s="95" customFormat="1" ht="15">
      <c r="B3" s="94" t="s">
        <v>88</v>
      </c>
    </row>
    <row r="4" s="95" customFormat="1" ht="15" customHeight="1">
      <c r="B4" s="16" t="s">
        <v>246</v>
      </c>
    </row>
    <row r="5" s="95" customFormat="1" ht="15">
      <c r="B5" s="94"/>
    </row>
    <row r="6" s="95" customFormat="1" ht="15.75" thickBot="1">
      <c r="B6" s="94"/>
    </row>
    <row r="7" spans="3:8" s="95" customFormat="1" ht="20.25" customHeight="1" thickBot="1">
      <c r="C7" s="245" t="s">
        <v>125</v>
      </c>
      <c r="D7" s="246"/>
      <c r="E7" s="246"/>
      <c r="F7" s="246"/>
      <c r="G7" s="246"/>
      <c r="H7" s="247"/>
    </row>
    <row r="8" s="95" customFormat="1" ht="12.75" customHeight="1" hidden="1"/>
    <row r="9" s="95" customFormat="1" ht="12.75" customHeight="1" hidden="1"/>
    <row r="10" spans="3:8" s="95" customFormat="1" ht="15" customHeight="1">
      <c r="C10" s="96"/>
      <c r="D10" s="96"/>
      <c r="E10" s="96"/>
      <c r="F10" s="96"/>
      <c r="G10" s="91"/>
      <c r="H10" s="96"/>
    </row>
    <row r="11" spans="3:8" s="95" customFormat="1" ht="15" customHeight="1">
      <c r="C11" s="96"/>
      <c r="D11" s="96"/>
      <c r="E11" s="96"/>
      <c r="F11" s="96"/>
      <c r="G11" s="103"/>
      <c r="H11" s="103"/>
    </row>
    <row r="12" spans="3:8" s="95" customFormat="1" ht="15" customHeight="1">
      <c r="C12" s="96" t="s">
        <v>5</v>
      </c>
      <c r="D12" s="96" t="s">
        <v>10</v>
      </c>
      <c r="E12" s="104" t="s">
        <v>11</v>
      </c>
      <c r="F12" s="96" t="s">
        <v>156</v>
      </c>
      <c r="G12" s="104" t="s">
        <v>221</v>
      </c>
      <c r="H12" s="104" t="s">
        <v>64</v>
      </c>
    </row>
    <row r="13" spans="3:8" s="95" customFormat="1" ht="15" customHeight="1">
      <c r="C13" s="96"/>
      <c r="D13" s="96"/>
      <c r="E13" s="103"/>
      <c r="F13" s="96"/>
      <c r="G13" s="103"/>
      <c r="H13" s="103"/>
    </row>
    <row r="14" spans="3:8" s="95" customFormat="1" ht="15" customHeight="1">
      <c r="C14" s="96" t="s">
        <v>0</v>
      </c>
      <c r="D14" s="96" t="s">
        <v>0</v>
      </c>
      <c r="E14" s="96" t="s">
        <v>0</v>
      </c>
      <c r="F14" s="96" t="s">
        <v>0</v>
      </c>
      <c r="G14" s="96" t="s">
        <v>0</v>
      </c>
      <c r="H14" s="96" t="s">
        <v>3</v>
      </c>
    </row>
    <row r="15" spans="3:8" s="95" customFormat="1" ht="15" customHeight="1">
      <c r="C15" s="96"/>
      <c r="D15" s="96"/>
      <c r="E15" s="96"/>
      <c r="F15" s="96"/>
      <c r="G15" s="96"/>
      <c r="H15" s="96"/>
    </row>
    <row r="16" spans="2:8" s="95" customFormat="1" ht="15" customHeight="1">
      <c r="B16" s="94" t="s">
        <v>220</v>
      </c>
      <c r="C16" s="113">
        <v>45000</v>
      </c>
      <c r="D16" s="113">
        <v>1550</v>
      </c>
      <c r="E16" s="113">
        <v>10016</v>
      </c>
      <c r="F16" s="113">
        <v>56566</v>
      </c>
      <c r="G16" s="113">
        <v>0</v>
      </c>
      <c r="H16" s="113">
        <f>SUM(F16:G16)</f>
        <v>56566</v>
      </c>
    </row>
    <row r="17" spans="3:8" s="95" customFormat="1" ht="15" customHeight="1">
      <c r="C17" s="97"/>
      <c r="D17" s="97"/>
      <c r="E17" s="97"/>
      <c r="F17" s="97"/>
      <c r="G17" s="97"/>
      <c r="H17" s="97"/>
    </row>
    <row r="18" spans="2:8" s="95" customFormat="1" ht="15" customHeight="1">
      <c r="B18" s="95" t="s">
        <v>43</v>
      </c>
      <c r="C18" s="97">
        <v>0</v>
      </c>
      <c r="D18" s="97">
        <v>0</v>
      </c>
      <c r="E18" s="97">
        <f>'Income statement'!I47</f>
        <v>16188.535382999977</v>
      </c>
      <c r="F18" s="97">
        <f>E18</f>
        <v>16188.535382999977</v>
      </c>
      <c r="G18" s="97">
        <v>13</v>
      </c>
      <c r="H18" s="97">
        <f>SUM(F18:G18)</f>
        <v>16201.535382999977</v>
      </c>
    </row>
    <row r="19" spans="3:8" s="95" customFormat="1" ht="15" customHeight="1">
      <c r="C19" s="97"/>
      <c r="D19" s="97"/>
      <c r="E19" s="97"/>
      <c r="F19" s="97"/>
      <c r="G19" s="97"/>
      <c r="H19" s="97"/>
    </row>
    <row r="20" spans="2:8" s="95" customFormat="1" ht="15" customHeight="1">
      <c r="B20" s="95" t="s">
        <v>236</v>
      </c>
      <c r="C20" s="97"/>
      <c r="D20" s="97"/>
      <c r="E20" s="97">
        <v>-1800</v>
      </c>
      <c r="F20" s="97">
        <f>E20</f>
        <v>-1800</v>
      </c>
      <c r="G20" s="97"/>
      <c r="H20" s="97">
        <f>SUM(F20:G20)</f>
        <v>-1800</v>
      </c>
    </row>
    <row r="21" spans="3:8" s="95" customFormat="1" ht="15" customHeight="1">
      <c r="C21" s="97"/>
      <c r="D21" s="97"/>
      <c r="E21" s="97"/>
      <c r="F21" s="97"/>
      <c r="G21" s="97"/>
      <c r="H21" s="97"/>
    </row>
    <row r="22" spans="2:9" s="95" customFormat="1" ht="15" customHeight="1" thickBot="1">
      <c r="B22" s="94" t="s">
        <v>249</v>
      </c>
      <c r="C22" s="98">
        <f>SUM(C16:C21)</f>
        <v>45000</v>
      </c>
      <c r="D22" s="98">
        <f>SUM(D16:D21)</f>
        <v>1550</v>
      </c>
      <c r="E22" s="98">
        <f>SUM(E16:E21)</f>
        <v>24404.535382999977</v>
      </c>
      <c r="F22" s="98">
        <f>SUM(F16:F21)</f>
        <v>70954.53538299998</v>
      </c>
      <c r="G22" s="98">
        <f>SUM(G18:G21)</f>
        <v>13</v>
      </c>
      <c r="H22" s="98">
        <f>SUM(H16:H21)</f>
        <v>70967.53538299998</v>
      </c>
      <c r="I22" s="99"/>
    </row>
    <row r="23" spans="3:8" s="95" customFormat="1" ht="15" customHeight="1" thickTop="1">
      <c r="C23" s="100"/>
      <c r="D23" s="100"/>
      <c r="E23" s="100"/>
      <c r="F23" s="100"/>
      <c r="G23" s="100"/>
      <c r="H23" s="100"/>
    </row>
    <row r="24" spans="3:14" s="95" customFormat="1" ht="15" customHeight="1">
      <c r="C24" s="100"/>
      <c r="D24" s="100"/>
      <c r="E24" s="100"/>
      <c r="F24" s="100"/>
      <c r="G24" s="100"/>
      <c r="N24" s="100"/>
    </row>
    <row r="25" spans="2:14" s="95" customFormat="1" ht="15" customHeight="1" hidden="1">
      <c r="B25" s="95" t="s">
        <v>122</v>
      </c>
      <c r="C25" s="100"/>
      <c r="D25" s="100"/>
      <c r="E25" s="100"/>
      <c r="F25" s="100"/>
      <c r="G25" s="100"/>
      <c r="I25" s="101"/>
      <c r="J25" s="101"/>
      <c r="K25" s="101"/>
      <c r="M25" s="101"/>
      <c r="N25" s="100"/>
    </row>
    <row r="26" spans="2:13" s="95" customFormat="1" ht="15" customHeight="1" hidden="1">
      <c r="B26" s="101"/>
      <c r="C26" s="100"/>
      <c r="D26" s="100"/>
      <c r="E26" s="100"/>
      <c r="F26" s="100"/>
      <c r="G26" s="100"/>
      <c r="H26" s="100"/>
      <c r="I26" s="101"/>
      <c r="J26" s="101"/>
      <c r="K26" s="101"/>
      <c r="L26" s="101"/>
      <c r="M26" s="101"/>
    </row>
    <row r="27" spans="2:7" ht="12.75" hidden="1">
      <c r="B27" s="102"/>
      <c r="C27" s="102"/>
      <c r="D27" s="102"/>
      <c r="E27" s="102"/>
      <c r="F27" s="102"/>
      <c r="G27" s="102"/>
    </row>
    <row r="28" spans="2:7" ht="12.75" hidden="1">
      <c r="B28" s="131" t="s">
        <v>152</v>
      </c>
      <c r="C28" s="102"/>
      <c r="D28" s="102"/>
      <c r="E28" s="102"/>
      <c r="F28" s="102"/>
      <c r="G28" s="102"/>
    </row>
    <row r="29" spans="2:7" ht="14.25" hidden="1">
      <c r="B29" s="129" t="s">
        <v>155</v>
      </c>
      <c r="C29" s="130"/>
      <c r="D29" s="130"/>
      <c r="E29" s="130"/>
      <c r="F29" s="130"/>
      <c r="G29" s="130"/>
    </row>
    <row r="30" spans="2:7" ht="14.25" hidden="1">
      <c r="B30" s="95" t="s">
        <v>153</v>
      </c>
      <c r="C30" s="95"/>
      <c r="D30" s="95"/>
      <c r="E30" s="95"/>
      <c r="F30" s="95"/>
      <c r="G30" s="95"/>
    </row>
    <row r="31" spans="2:7" ht="14.25">
      <c r="B31" s="95"/>
      <c r="C31" s="95"/>
      <c r="D31" s="95"/>
      <c r="E31" s="95"/>
      <c r="F31" s="95"/>
      <c r="G31" s="95"/>
    </row>
    <row r="32" spans="2:7" ht="14.25">
      <c r="B32" s="95" t="s">
        <v>233</v>
      </c>
      <c r="C32" s="95"/>
      <c r="D32" s="95"/>
      <c r="E32" s="95"/>
      <c r="F32" s="95"/>
      <c r="G32" s="95"/>
    </row>
    <row r="33" spans="2:7" ht="14.25">
      <c r="B33" s="95" t="s">
        <v>224</v>
      </c>
      <c r="C33" s="95"/>
      <c r="D33" s="95"/>
      <c r="E33" s="95"/>
      <c r="F33" s="95"/>
      <c r="G33" s="95"/>
    </row>
    <row r="34" ht="14.25">
      <c r="B34" s="101" t="s">
        <v>101</v>
      </c>
    </row>
    <row r="35" ht="14.25">
      <c r="B35" s="95"/>
    </row>
  </sheetData>
  <sheetProtection/>
  <mergeCells count="1">
    <mergeCell ref="C7:H7"/>
  </mergeCells>
  <printOptions gridLines="1"/>
  <pageMargins left="0.24" right="0.17" top="0.58" bottom="0.17" header="0.29" footer="0.1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89</v>
      </c>
      <c r="B3" s="12"/>
      <c r="C3" s="12"/>
      <c r="D3" s="12"/>
      <c r="E3" s="12"/>
      <c r="F3" s="12"/>
    </row>
    <row r="4" spans="1:6" ht="15" customHeight="1">
      <c r="A4" s="2" t="s">
        <v>86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26</v>
      </c>
    </row>
    <row r="6" spans="1:6" ht="15" customHeight="1">
      <c r="A6" s="2"/>
      <c r="B6" s="12"/>
      <c r="C6" s="12"/>
      <c r="D6" s="5" t="s">
        <v>13</v>
      </c>
      <c r="E6" s="12"/>
      <c r="F6" s="5" t="s">
        <v>27</v>
      </c>
    </row>
    <row r="7" spans="1:6" ht="15" customHeight="1">
      <c r="A7" s="2"/>
      <c r="B7" s="12"/>
      <c r="C7" s="12"/>
      <c r="D7" s="5" t="s">
        <v>12</v>
      </c>
      <c r="E7" s="12"/>
      <c r="F7" s="5" t="s">
        <v>100</v>
      </c>
    </row>
    <row r="8" spans="1:6" ht="15" customHeight="1">
      <c r="A8" s="2"/>
      <c r="B8" s="12"/>
      <c r="C8" s="12"/>
      <c r="D8" s="5" t="str">
        <f>'Income statement'!I12</f>
        <v>31 December 2010</v>
      </c>
      <c r="E8" s="12"/>
      <c r="F8" s="5" t="str">
        <f>'Income statement'!J12</f>
        <v>31 December 2009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65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67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66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68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70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69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104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90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91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105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106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71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99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107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72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46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73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108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74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92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75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76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77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109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78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93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79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94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110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111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112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48" t="s">
        <v>102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48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48" t="s">
        <v>103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48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98</v>
      </c>
      <c r="B70" s="12"/>
      <c r="C70" s="12"/>
      <c r="D70" s="12"/>
      <c r="E70" s="28"/>
      <c r="F70" s="12"/>
    </row>
    <row r="71" spans="1:6" ht="14.25">
      <c r="A71" s="12" t="s">
        <v>83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84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85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95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96</v>
      </c>
    </row>
    <row r="80" ht="12.75">
      <c r="A80" s="43" t="s">
        <v>54</v>
      </c>
    </row>
    <row r="81" ht="12.75">
      <c r="A81" s="43" t="s">
        <v>97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51" t="s">
        <v>18</v>
      </c>
      <c r="D6" s="252"/>
      <c r="E6" s="251" t="s">
        <v>19</v>
      </c>
      <c r="F6" s="252"/>
      <c r="H6" s="7"/>
    </row>
    <row r="7" spans="3:6" ht="12.75">
      <c r="C7" s="253" t="s">
        <v>20</v>
      </c>
      <c r="D7" s="253" t="s">
        <v>21</v>
      </c>
      <c r="E7" s="253" t="s">
        <v>23</v>
      </c>
      <c r="F7" s="253" t="s">
        <v>22</v>
      </c>
    </row>
    <row r="8" spans="3:6" ht="12.75">
      <c r="C8" s="253"/>
      <c r="D8" s="253"/>
      <c r="E8" s="253"/>
      <c r="F8" s="253"/>
    </row>
    <row r="9" spans="3:6" ht="12.75">
      <c r="C9" s="253"/>
      <c r="D9" s="253"/>
      <c r="E9" s="253"/>
      <c r="F9" s="253"/>
    </row>
    <row r="10" spans="3:6" ht="12.75">
      <c r="C10" s="5" t="str">
        <f>+'Income statement'!C12</f>
        <v>30 September 2010</v>
      </c>
      <c r="D10" s="5" t="str">
        <f>+'Income statement'!D12</f>
        <v>30 September 2009</v>
      </c>
      <c r="E10" s="5" t="str">
        <f>+C10</f>
        <v>30 September 2010</v>
      </c>
      <c r="F10" s="5" t="str">
        <f>+D10</f>
        <v>30 September 2009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>
        <f>+'Income statement'!C15</f>
        <v>70743</v>
      </c>
      <c r="D14" s="9">
        <f>+'Income statement'!D15</f>
        <v>23671</v>
      </c>
      <c r="E14" s="9">
        <f>+'Income statement'!I15</f>
        <v>98783.39914999998</v>
      </c>
      <c r="F14" s="9">
        <f>+'Income statement'!J15</f>
        <v>48958.223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44</v>
      </c>
      <c r="C16" s="9">
        <f>+'Income statement'!C29</f>
        <v>15806</v>
      </c>
      <c r="D16" s="9">
        <f>+'Income statement'!D29</f>
        <v>7578</v>
      </c>
      <c r="E16" s="9">
        <f>+'Income statement'!I29</f>
        <v>21168.923329999976</v>
      </c>
      <c r="F16" s="9">
        <f>+'Income statement'!J29</f>
        <v>13768.765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49" t="s">
        <v>51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49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47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48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45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49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28</v>
      </c>
      <c r="F30" s="4" t="s">
        <v>30</v>
      </c>
    </row>
    <row r="31" spans="3:6" ht="12.75">
      <c r="C31" s="9"/>
      <c r="D31" s="9"/>
      <c r="E31" s="4" t="s">
        <v>29</v>
      </c>
      <c r="F31" s="4" t="s">
        <v>31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50" t="s">
        <v>50</v>
      </c>
      <c r="C33" s="9"/>
      <c r="D33" s="9"/>
      <c r="E33" s="10">
        <f>+'balance sheet'!C63</f>
        <v>0.6599666445444444</v>
      </c>
      <c r="F33" s="10">
        <f>+'balance sheet'!G63</f>
        <v>0.6285111111111111</v>
      </c>
    </row>
    <row r="34" spans="2:6" ht="12.75">
      <c r="B34" s="250"/>
      <c r="C34" s="9"/>
      <c r="D34" s="9"/>
      <c r="E34" s="9"/>
      <c r="F34" s="9"/>
    </row>
    <row r="35" spans="2:6" ht="12.75">
      <c r="B35" s="250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63" customWidth="1"/>
    <col min="4" max="4" width="17.8515625" style="163" customWidth="1"/>
    <col min="5" max="5" width="11.00390625" style="0" customWidth="1"/>
  </cols>
  <sheetData>
    <row r="1" ht="15">
      <c r="B1" s="16" t="s">
        <v>178</v>
      </c>
    </row>
    <row r="2" ht="15">
      <c r="B2" s="16" t="s">
        <v>179</v>
      </c>
    </row>
    <row r="3" ht="15">
      <c r="B3" s="16" t="s">
        <v>180</v>
      </c>
    </row>
    <row r="4" ht="15">
      <c r="B4" s="16"/>
    </row>
    <row r="5" ht="15">
      <c r="B5" s="16" t="s">
        <v>181</v>
      </c>
    </row>
    <row r="6" ht="15">
      <c r="B6" s="16" t="s">
        <v>182</v>
      </c>
    </row>
    <row r="7" ht="14.25">
      <c r="B7" s="160"/>
    </row>
    <row r="8" spans="2:4" ht="15">
      <c r="B8" s="24"/>
      <c r="C8" s="17" t="s">
        <v>183</v>
      </c>
      <c r="D8" s="17">
        <v>2009</v>
      </c>
    </row>
    <row r="9" spans="2:4" ht="15">
      <c r="B9" s="24"/>
      <c r="C9" s="17"/>
      <c r="D9" s="17" t="s">
        <v>184</v>
      </c>
    </row>
    <row r="10" spans="2:4" ht="14.25">
      <c r="B10" s="20"/>
      <c r="C10" s="19"/>
      <c r="D10" s="19"/>
    </row>
    <row r="11" spans="2:4" ht="14.25">
      <c r="B11" s="20" t="s">
        <v>65</v>
      </c>
      <c r="C11" s="19"/>
      <c r="D11" s="19"/>
    </row>
    <row r="12" spans="2:4" ht="14.25">
      <c r="B12" s="20" t="s">
        <v>2</v>
      </c>
      <c r="C12" s="19"/>
      <c r="D12" s="165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66</v>
      </c>
      <c r="C16" s="19"/>
      <c r="D16" s="165">
        <v>1410509</v>
      </c>
    </row>
    <row r="17" spans="2:4" ht="14.25">
      <c r="B17" s="20" t="s">
        <v>67</v>
      </c>
      <c r="C17" s="19"/>
      <c r="D17" s="165">
        <v>968612</v>
      </c>
    </row>
    <row r="18" spans="2:4" ht="14.25">
      <c r="B18" s="20" t="s">
        <v>185</v>
      </c>
      <c r="C18" s="19"/>
      <c r="D18" s="165">
        <v>48152</v>
      </c>
    </row>
    <row r="19" spans="2:4" ht="14.25">
      <c r="B19" s="20" t="s">
        <v>68</v>
      </c>
      <c r="C19" s="19"/>
      <c r="D19" s="165">
        <v>29548</v>
      </c>
    </row>
    <row r="20" spans="2:4" ht="14.25">
      <c r="B20" s="20" t="s">
        <v>186</v>
      </c>
      <c r="C20" s="19"/>
      <c r="D20" s="165">
        <v>-38068</v>
      </c>
    </row>
    <row r="21" spans="2:4" ht="14.25">
      <c r="B21" s="20" t="s">
        <v>69</v>
      </c>
      <c r="C21" s="19"/>
      <c r="D21" s="165">
        <v>-381336</v>
      </c>
    </row>
    <row r="22" spans="2:5" ht="15" thickBot="1">
      <c r="B22" s="20" t="s">
        <v>187</v>
      </c>
      <c r="C22" s="19"/>
      <c r="D22" s="166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65">
        <v>14683053</v>
      </c>
    </row>
    <row r="25" spans="2:4" ht="14.25">
      <c r="B25" s="20"/>
      <c r="C25" s="19"/>
      <c r="D25" s="19"/>
    </row>
    <row r="26" spans="2:4" ht="14.25">
      <c r="B26" s="24" t="s">
        <v>188</v>
      </c>
      <c r="C26" s="19"/>
      <c r="D26" s="165">
        <v>1005378</v>
      </c>
    </row>
    <row r="27" spans="2:4" ht="14.25">
      <c r="B27" s="24" t="s">
        <v>189</v>
      </c>
      <c r="C27" s="19"/>
      <c r="D27" s="165">
        <v>2638376</v>
      </c>
    </row>
    <row r="28" spans="2:4" ht="14.25">
      <c r="B28" s="20" t="s">
        <v>147</v>
      </c>
      <c r="C28" s="19"/>
      <c r="D28" s="165">
        <v>-3186200</v>
      </c>
    </row>
    <row r="29" spans="2:4" ht="28.5">
      <c r="B29" s="20" t="s">
        <v>190</v>
      </c>
      <c r="C29" s="19"/>
      <c r="D29" s="165">
        <v>-1774921</v>
      </c>
    </row>
    <row r="30" spans="2:4" ht="28.5">
      <c r="B30" s="20" t="s">
        <v>135</v>
      </c>
      <c r="C30" s="19"/>
      <c r="D30" s="165">
        <v>1373389</v>
      </c>
    </row>
    <row r="31" spans="2:4" ht="14.25">
      <c r="B31" s="20" t="s">
        <v>71</v>
      </c>
      <c r="C31" s="19"/>
      <c r="D31" s="165">
        <v>189777</v>
      </c>
    </row>
    <row r="32" spans="2:4" ht="15" thickBot="1">
      <c r="B32" s="20" t="s">
        <v>136</v>
      </c>
      <c r="C32" s="19"/>
      <c r="D32" s="166">
        <v>-271731</v>
      </c>
    </row>
    <row r="33" spans="2:4" ht="14.25">
      <c r="B33" s="24"/>
      <c r="C33" s="19"/>
      <c r="D33" s="19"/>
    </row>
    <row r="34" spans="2:4" ht="14.25">
      <c r="B34" s="24" t="s">
        <v>191</v>
      </c>
      <c r="C34" s="19"/>
      <c r="D34" s="165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65">
        <v>-134101</v>
      </c>
    </row>
    <row r="37" spans="2:4" ht="15" thickBot="1">
      <c r="B37" s="18" t="s">
        <v>72</v>
      </c>
      <c r="C37" s="19"/>
      <c r="D37" s="166">
        <v>-3491456</v>
      </c>
    </row>
    <row r="38" spans="2:4" ht="14.25">
      <c r="B38" s="18"/>
      <c r="C38" s="19"/>
      <c r="D38" s="19"/>
    </row>
    <row r="39" spans="2:4" ht="15" thickBot="1">
      <c r="B39" s="18" t="s">
        <v>46</v>
      </c>
      <c r="C39" s="19"/>
      <c r="D39" s="166">
        <v>11031564</v>
      </c>
    </row>
    <row r="40" spans="2:4" ht="14.25">
      <c r="B40" s="18"/>
      <c r="C40" s="19"/>
      <c r="D40" s="19"/>
    </row>
    <row r="41" spans="2:4" ht="15">
      <c r="B41" s="18" t="s">
        <v>73</v>
      </c>
      <c r="C41" s="19"/>
      <c r="D41" s="17"/>
    </row>
    <row r="42" spans="2:4" ht="14.25">
      <c r="B42" s="18" t="s">
        <v>192</v>
      </c>
      <c r="C42" s="19"/>
      <c r="D42" s="19"/>
    </row>
    <row r="43" spans="2:4" ht="14.25">
      <c r="B43" s="18" t="s">
        <v>193</v>
      </c>
      <c r="C43" s="19">
        <v>17</v>
      </c>
      <c r="D43" s="165">
        <v>15479479</v>
      </c>
    </row>
    <row r="44" spans="2:4" ht="14.25">
      <c r="B44" s="18" t="s">
        <v>194</v>
      </c>
      <c r="C44" s="19"/>
      <c r="D44" s="165">
        <v>381336</v>
      </c>
    </row>
    <row r="45" spans="2:4" ht="14.25">
      <c r="B45" s="18" t="s">
        <v>195</v>
      </c>
      <c r="C45" s="19"/>
      <c r="D45" s="165">
        <v>38068</v>
      </c>
    </row>
    <row r="46" spans="2:4" ht="14.25">
      <c r="B46" s="18" t="s">
        <v>92</v>
      </c>
      <c r="C46" s="19"/>
      <c r="D46" s="165">
        <v>-500682</v>
      </c>
    </row>
    <row r="47" spans="2:4" ht="15" thickBot="1">
      <c r="B47" s="18" t="s">
        <v>75</v>
      </c>
      <c r="C47" s="19">
        <v>25</v>
      </c>
      <c r="D47" s="165">
        <v>-11636454</v>
      </c>
    </row>
    <row r="48" spans="2:4" ht="15">
      <c r="B48" s="18"/>
      <c r="C48" s="19"/>
      <c r="D48" s="167"/>
    </row>
    <row r="49" spans="2:4" ht="15" thickBot="1">
      <c r="B49" s="18" t="s">
        <v>196</v>
      </c>
      <c r="C49" s="19"/>
      <c r="D49" s="166">
        <v>3761747</v>
      </c>
    </row>
    <row r="50" spans="2:4" ht="12.75">
      <c r="B50" s="161"/>
      <c r="C50" s="164"/>
      <c r="D50" s="164"/>
    </row>
    <row r="51" spans="2:5" ht="15">
      <c r="B51" s="20"/>
      <c r="C51" s="19"/>
      <c r="D51" s="17"/>
      <c r="E51" s="162"/>
    </row>
    <row r="52" spans="2:5" ht="15">
      <c r="B52" s="20" t="s">
        <v>77</v>
      </c>
      <c r="C52" s="19"/>
      <c r="D52" s="17"/>
      <c r="E52" s="162"/>
    </row>
    <row r="53" spans="2:5" ht="15">
      <c r="B53" s="20" t="s">
        <v>197</v>
      </c>
      <c r="C53" s="19"/>
      <c r="D53" s="165">
        <v>13320000</v>
      </c>
      <c r="E53" s="162"/>
    </row>
    <row r="54" spans="2:5" ht="15">
      <c r="B54" s="20" t="s">
        <v>198</v>
      </c>
      <c r="C54" s="19"/>
      <c r="D54" s="165">
        <v>1785884</v>
      </c>
      <c r="E54" s="162"/>
    </row>
    <row r="55" spans="2:5" ht="15">
      <c r="B55" s="20" t="s">
        <v>78</v>
      </c>
      <c r="C55" s="19"/>
      <c r="D55" s="165">
        <v>-9886</v>
      </c>
      <c r="E55" s="162"/>
    </row>
    <row r="56" spans="2:5" ht="15">
      <c r="B56" s="20" t="s">
        <v>199</v>
      </c>
      <c r="C56" s="19"/>
      <c r="D56" s="165">
        <v>-26016</v>
      </c>
      <c r="E56" s="162"/>
    </row>
    <row r="57" spans="2:5" ht="15">
      <c r="B57" s="20" t="s">
        <v>79</v>
      </c>
      <c r="C57" s="19"/>
      <c r="D57" s="165">
        <v>-63273</v>
      </c>
      <c r="E57" s="162"/>
    </row>
    <row r="58" spans="2:5" ht="15">
      <c r="B58" s="20" t="s">
        <v>200</v>
      </c>
      <c r="C58" s="19"/>
      <c r="D58" s="165">
        <v>-666770</v>
      </c>
      <c r="E58" s="162"/>
    </row>
    <row r="59" spans="2:5" ht="15">
      <c r="B59" s="20" t="s">
        <v>201</v>
      </c>
      <c r="C59" s="19"/>
      <c r="D59" s="165">
        <v>-2520424</v>
      </c>
      <c r="E59" s="162"/>
    </row>
    <row r="60" spans="2:5" ht="15">
      <c r="B60" s="20" t="s">
        <v>202</v>
      </c>
      <c r="C60" s="19"/>
      <c r="D60" s="165">
        <v>-2812839</v>
      </c>
      <c r="E60" s="162"/>
    </row>
    <row r="61" spans="2:5" ht="15.75" thickBot="1">
      <c r="B61" s="20" t="s">
        <v>203</v>
      </c>
      <c r="C61" s="19"/>
      <c r="D61" s="166">
        <v>-5000000</v>
      </c>
      <c r="E61" s="162"/>
    </row>
    <row r="62" spans="2:5" ht="15">
      <c r="B62" s="20"/>
      <c r="C62" s="19"/>
      <c r="D62" s="19"/>
      <c r="E62" s="162"/>
    </row>
    <row r="63" spans="2:5" ht="15.75" thickBot="1">
      <c r="B63" s="20" t="s">
        <v>204</v>
      </c>
      <c r="C63" s="19"/>
      <c r="D63" s="166">
        <v>4006676</v>
      </c>
      <c r="E63" s="162"/>
    </row>
    <row r="64" spans="2:5" ht="15">
      <c r="B64" s="20"/>
      <c r="C64" s="19"/>
      <c r="D64" s="17"/>
      <c r="E64" s="162"/>
    </row>
    <row r="65" spans="2:5" ht="14.25">
      <c r="B65" s="20" t="s">
        <v>205</v>
      </c>
      <c r="C65" s="19"/>
      <c r="D65" s="165">
        <v>18799987</v>
      </c>
      <c r="E65" s="24"/>
    </row>
    <row r="66" spans="2:5" ht="15">
      <c r="B66" s="20"/>
      <c r="C66" s="19"/>
      <c r="D66" s="19"/>
      <c r="E66" s="162"/>
    </row>
    <row r="67" spans="2:5" ht="28.5">
      <c r="B67" s="20" t="s">
        <v>206</v>
      </c>
      <c r="C67" s="19"/>
      <c r="D67" s="19"/>
      <c r="E67" s="162"/>
    </row>
    <row r="68" spans="2:5" ht="15.75" thickBot="1">
      <c r="B68" s="20"/>
      <c r="C68" s="19"/>
      <c r="D68" s="168">
        <v>2</v>
      </c>
      <c r="E68" s="162"/>
    </row>
    <row r="69" spans="2:5" ht="15">
      <c r="B69" s="20"/>
      <c r="C69" s="19"/>
      <c r="D69" s="19"/>
      <c r="E69" s="162"/>
    </row>
    <row r="70" spans="2:5" ht="15.75" thickBot="1">
      <c r="B70" s="20" t="s">
        <v>207</v>
      </c>
      <c r="C70" s="19">
        <v>26</v>
      </c>
      <c r="D70" s="169">
        <v>18799989</v>
      </c>
      <c r="E70" s="162"/>
    </row>
    <row r="71" spans="2:5" ht="13.5" thickTop="1">
      <c r="B71" s="161"/>
      <c r="C71" s="164"/>
      <c r="D71" s="164"/>
      <c r="E71" s="161"/>
    </row>
    <row r="72" ht="14.25">
      <c r="B72" s="60"/>
    </row>
    <row r="73" ht="14.25">
      <c r="B73" s="51"/>
    </row>
    <row r="74" ht="14.25">
      <c r="B74" s="51"/>
    </row>
    <row r="75" spans="2:4" ht="15">
      <c r="B75" s="171" t="s">
        <v>217</v>
      </c>
      <c r="C75"/>
      <c r="D75"/>
    </row>
    <row r="76" spans="2:4" ht="14.25">
      <c r="B76" s="160"/>
      <c r="C76"/>
      <c r="D76"/>
    </row>
    <row r="77" spans="2:4" ht="42.75">
      <c r="B77" s="160" t="s">
        <v>208</v>
      </c>
      <c r="C77"/>
      <c r="D77"/>
    </row>
    <row r="78" spans="2:4" ht="14.25">
      <c r="B78" s="160"/>
      <c r="C78"/>
      <c r="D78"/>
    </row>
    <row r="79" spans="2:7" ht="15.75" thickBot="1">
      <c r="B79" s="25"/>
      <c r="D79" s="172" t="s">
        <v>209</v>
      </c>
      <c r="E79" s="173"/>
      <c r="F79" s="254"/>
      <c r="G79" s="254"/>
    </row>
    <row r="80" spans="2:7" ht="15">
      <c r="B80" s="25"/>
      <c r="D80" s="17">
        <v>2009</v>
      </c>
      <c r="E80" s="173"/>
      <c r="F80" s="174"/>
      <c r="G80" s="173"/>
    </row>
    <row r="81" spans="2:7" ht="15">
      <c r="B81" s="20"/>
      <c r="D81" s="17" t="s">
        <v>184</v>
      </c>
      <c r="E81" s="173"/>
      <c r="F81" s="174"/>
      <c r="G81" s="173"/>
    </row>
    <row r="82" spans="2:7" ht="15">
      <c r="B82" s="20"/>
      <c r="D82" s="17"/>
      <c r="E82" s="173"/>
      <c r="F82" s="174"/>
      <c r="G82" s="174"/>
    </row>
    <row r="83" spans="2:7" ht="14.25">
      <c r="B83" s="20" t="s">
        <v>210</v>
      </c>
      <c r="D83" s="165">
        <v>8538068</v>
      </c>
      <c r="E83" s="175"/>
      <c r="F83" s="176"/>
      <c r="G83" s="176"/>
    </row>
    <row r="84" spans="2:7" ht="15">
      <c r="B84" s="20" t="s">
        <v>211</v>
      </c>
      <c r="D84" s="17"/>
      <c r="E84" s="173"/>
      <c r="F84" s="174"/>
      <c r="G84" s="174"/>
    </row>
    <row r="85" spans="2:7" ht="14.25">
      <c r="B85" s="20" t="s">
        <v>212</v>
      </c>
      <c r="D85" s="165">
        <v>19711108</v>
      </c>
      <c r="E85" s="176"/>
      <c r="F85" s="177"/>
      <c r="G85" s="176"/>
    </row>
    <row r="86" spans="2:7" ht="14.25">
      <c r="B86" s="20" t="s">
        <v>213</v>
      </c>
      <c r="D86" s="165">
        <v>3199333</v>
      </c>
      <c r="E86" s="175"/>
      <c r="F86" s="177"/>
      <c r="G86" s="176"/>
    </row>
    <row r="87" spans="2:7" ht="15" thickBot="1">
      <c r="B87" s="20" t="s">
        <v>214</v>
      </c>
      <c r="D87" s="166">
        <v>-3959186</v>
      </c>
      <c r="E87" s="176"/>
      <c r="F87" s="177"/>
      <c r="G87" s="176"/>
    </row>
    <row r="88" spans="2:7" ht="14.25">
      <c r="B88" s="20"/>
      <c r="D88" s="19"/>
      <c r="E88" s="176"/>
      <c r="F88" s="177"/>
      <c r="G88" s="176"/>
    </row>
    <row r="89" spans="2:7" ht="14.25">
      <c r="B89" s="20"/>
      <c r="D89" s="165">
        <v>27489323</v>
      </c>
      <c r="E89" s="175"/>
      <c r="F89" s="177"/>
      <c r="G89" s="176"/>
    </row>
    <row r="90" spans="2:7" ht="15">
      <c r="B90" s="20" t="s">
        <v>215</v>
      </c>
      <c r="D90" s="17"/>
      <c r="E90" s="173"/>
      <c r="F90" s="174"/>
      <c r="G90" s="173"/>
    </row>
    <row r="91" spans="2:7" ht="15" thickBot="1">
      <c r="B91" s="20" t="s">
        <v>216</v>
      </c>
      <c r="D91" s="166">
        <v>-8689334</v>
      </c>
      <c r="E91" s="178"/>
      <c r="F91" s="178"/>
      <c r="G91" s="176"/>
    </row>
    <row r="92" spans="2:7" ht="14.25">
      <c r="B92" s="20"/>
      <c r="D92" s="19"/>
      <c r="E92" s="178"/>
      <c r="F92" s="178"/>
      <c r="G92" s="176"/>
    </row>
    <row r="93" spans="2:7" ht="15" thickBot="1">
      <c r="B93" s="20"/>
      <c r="D93" s="169">
        <v>18799989</v>
      </c>
      <c r="E93" s="179"/>
      <c r="F93" s="178"/>
      <c r="G93" s="176"/>
    </row>
    <row r="94" spans="2:4" ht="15" thickTop="1">
      <c r="B94" s="160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8"/>
  <sheetViews>
    <sheetView zoomScalePageLayoutView="0" workbookViewId="0" topLeftCell="A1">
      <selection activeCell="G73" sqref="G73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07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89</v>
      </c>
      <c r="G3" s="208"/>
    </row>
    <row r="4" spans="2:10" s="51" customFormat="1" ht="15" customHeight="1">
      <c r="B4" s="16" t="s">
        <v>260</v>
      </c>
      <c r="E4" s="39"/>
      <c r="F4" s="39"/>
      <c r="G4" s="209"/>
      <c r="H4" s="39"/>
      <c r="I4" s="39"/>
      <c r="J4" s="39"/>
    </row>
    <row r="5" spans="2:10" s="51" customFormat="1" ht="15" customHeight="1">
      <c r="B5" s="16"/>
      <c r="E5" s="241" t="s">
        <v>218</v>
      </c>
      <c r="F5" s="56"/>
      <c r="G5" s="241" t="s">
        <v>261</v>
      </c>
      <c r="I5" s="241" t="s">
        <v>250</v>
      </c>
      <c r="J5" s="241" t="s">
        <v>219</v>
      </c>
    </row>
    <row r="6" spans="2:10" s="51" customFormat="1" ht="15" customHeight="1">
      <c r="B6" s="16"/>
      <c r="E6" s="241"/>
      <c r="F6" s="56"/>
      <c r="G6" s="241"/>
      <c r="I6" s="256"/>
      <c r="J6" s="256"/>
    </row>
    <row r="7" spans="2:10" s="51" customFormat="1" ht="15" customHeight="1">
      <c r="B7" s="16"/>
      <c r="E7" s="241"/>
      <c r="F7" s="56"/>
      <c r="G7" s="241"/>
      <c r="I7" s="256"/>
      <c r="J7" s="256"/>
    </row>
    <row r="8" spans="2:10" s="51" customFormat="1" ht="45" customHeight="1">
      <c r="B8" s="16"/>
      <c r="E8" s="241"/>
      <c r="F8" s="56"/>
      <c r="G8" s="241"/>
      <c r="I8" s="256"/>
      <c r="J8" s="256"/>
    </row>
    <row r="9" spans="2:10" s="51" customFormat="1" ht="15" customHeight="1">
      <c r="B9" s="16"/>
      <c r="E9" s="58" t="s">
        <v>3</v>
      </c>
      <c r="F9" s="58"/>
      <c r="G9" s="210" t="s">
        <v>3</v>
      </c>
      <c r="I9" s="206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211"/>
      <c r="H10" s="16"/>
      <c r="I10" s="16"/>
      <c r="J10" s="17"/>
    </row>
    <row r="11" spans="2:10" s="51" customFormat="1" ht="15" customHeight="1">
      <c r="B11" s="18"/>
      <c r="C11" s="19"/>
      <c r="D11" s="17"/>
      <c r="E11" s="17"/>
      <c r="F11" s="17"/>
      <c r="G11" s="212"/>
      <c r="H11" s="17"/>
      <c r="I11" s="17"/>
      <c r="J11" s="17"/>
    </row>
    <row r="12" spans="2:10" s="51" customFormat="1" ht="12.75" customHeight="1">
      <c r="B12" s="15" t="s">
        <v>65</v>
      </c>
      <c r="C12" s="15"/>
      <c r="D12" s="15"/>
      <c r="E12" s="15"/>
      <c r="F12" s="15"/>
      <c r="G12" s="213"/>
      <c r="H12" s="15"/>
      <c r="I12" s="15"/>
      <c r="J12" s="19"/>
    </row>
    <row r="13" spans="2:11" s="51" customFormat="1" ht="14.25">
      <c r="B13" s="20" t="s">
        <v>2</v>
      </c>
      <c r="C13" s="19"/>
      <c r="D13" s="19"/>
      <c r="E13" s="21">
        <f>'[5]cashflow.'!$U$8</f>
        <v>2912</v>
      </c>
      <c r="F13" s="21"/>
      <c r="G13" s="214">
        <f>'[9]cashflow.'!$V$8</f>
        <v>21168</v>
      </c>
      <c r="H13" s="21"/>
      <c r="I13" s="21">
        <v>13769</v>
      </c>
      <c r="J13" s="21">
        <f>'CF12.09'!D12/1000</f>
        <v>13768.765</v>
      </c>
      <c r="K13" s="199"/>
    </row>
    <row r="14" spans="2:11" s="51" customFormat="1" ht="14.25">
      <c r="B14" s="20"/>
      <c r="C14" s="19"/>
      <c r="D14" s="19"/>
      <c r="E14" s="21"/>
      <c r="F14" s="21"/>
      <c r="G14" s="214"/>
      <c r="H14" s="21"/>
      <c r="I14" s="21"/>
      <c r="J14" s="21"/>
      <c r="K14" s="199"/>
    </row>
    <row r="15" spans="2:11" s="51" customFormat="1" ht="15" thickBot="1">
      <c r="B15" s="233" t="s">
        <v>113</v>
      </c>
      <c r="C15" s="19"/>
      <c r="D15" s="19"/>
      <c r="E15" s="21" t="e">
        <f>'[5]cashflow.'!$V$17</f>
        <v>#REF!</v>
      </c>
      <c r="F15" s="21"/>
      <c r="G15" s="214">
        <f>'[9]cashflow.'!$X$17</f>
        <v>2199.7712600000004</v>
      </c>
      <c r="H15" s="21"/>
      <c r="I15" s="22">
        <v>914</v>
      </c>
      <c r="J15" s="22">
        <f>'CF12.09'!E22/1000</f>
        <v>914.288</v>
      </c>
      <c r="K15" s="199"/>
    </row>
    <row r="16" spans="2:11" s="51" customFormat="1" ht="14.25">
      <c r="B16" s="234"/>
      <c r="C16" s="19"/>
      <c r="D16" s="19"/>
      <c r="E16" s="23"/>
      <c r="F16" s="28"/>
      <c r="G16" s="215"/>
      <c r="H16" s="28"/>
      <c r="I16" s="28"/>
      <c r="J16" s="21"/>
      <c r="K16" s="199"/>
    </row>
    <row r="17" spans="2:11" s="51" customFormat="1" ht="15.75" customHeight="1">
      <c r="B17" s="233" t="s">
        <v>8</v>
      </c>
      <c r="C17" s="19"/>
      <c r="D17" s="19"/>
      <c r="E17" s="49">
        <f>'[5]cashflow.'!$U$21</f>
        <v>3906</v>
      </c>
      <c r="F17" s="49"/>
      <c r="G17" s="216">
        <f>SUM(G13:G15)</f>
        <v>23367.77126</v>
      </c>
      <c r="H17" s="21"/>
      <c r="I17" s="49">
        <f>SUM(I13:I15)</f>
        <v>14683</v>
      </c>
      <c r="J17" s="49">
        <f>'CF12.09'!D24/1000</f>
        <v>14683.053</v>
      </c>
      <c r="K17" s="199"/>
    </row>
    <row r="18" spans="2:15" s="51" customFormat="1" ht="14.25">
      <c r="B18" s="235"/>
      <c r="C18" s="24"/>
      <c r="D18" s="24"/>
      <c r="E18" s="21"/>
      <c r="F18" s="21"/>
      <c r="G18" s="214"/>
      <c r="H18" s="21"/>
      <c r="I18" s="21"/>
      <c r="J18" s="21"/>
      <c r="K18" s="230"/>
      <c r="L18" s="19"/>
      <c r="M18" s="19"/>
      <c r="N18" s="19"/>
      <c r="O18" s="19"/>
    </row>
    <row r="19" spans="2:12" s="51" customFormat="1" ht="14.25" customHeight="1" hidden="1">
      <c r="B19" s="41" t="s">
        <v>90</v>
      </c>
      <c r="C19" s="24"/>
      <c r="D19" s="24"/>
      <c r="E19" s="21">
        <f>'[1]cashflow.'!D22</f>
        <v>0</v>
      </c>
      <c r="F19" s="21"/>
      <c r="G19" s="214" t="e">
        <f>'[1]cashflow.'!F22</f>
        <v>#REF!</v>
      </c>
      <c r="H19" s="21"/>
      <c r="I19" s="21"/>
      <c r="J19" s="21" t="s">
        <v>24</v>
      </c>
      <c r="K19" s="230"/>
      <c r="L19" s="19"/>
    </row>
    <row r="20" spans="2:12" s="51" customFormat="1" ht="14.25" customHeight="1">
      <c r="B20" s="41" t="s">
        <v>254</v>
      </c>
      <c r="C20" s="24"/>
      <c r="D20" s="24"/>
      <c r="E20" s="21">
        <f>'[5]cashflow.'!$U$23</f>
        <v>312.60903000000053</v>
      </c>
      <c r="F20" s="21"/>
      <c r="G20" s="214">
        <f>'[9]cashflow.'!$V$23</f>
        <v>-1354.6316399999996</v>
      </c>
      <c r="H20" s="21"/>
      <c r="I20" s="21">
        <v>1005</v>
      </c>
      <c r="J20" s="21">
        <f>'CF12.09'!D26/1000</f>
        <v>1005.378</v>
      </c>
      <c r="K20" s="230"/>
      <c r="L20" s="19"/>
    </row>
    <row r="21" spans="2:12" s="51" customFormat="1" ht="14.25" customHeight="1">
      <c r="B21" s="41" t="s">
        <v>255</v>
      </c>
      <c r="C21" s="24"/>
      <c r="D21" s="24"/>
      <c r="E21" s="21">
        <f>'[5]cashflow.'!$U$24</f>
        <v>-1741.777379999996</v>
      </c>
      <c r="F21" s="21"/>
      <c r="G21" s="214">
        <f>'[9]cashflow.'!$V$24</f>
        <v>-1258.897359999999</v>
      </c>
      <c r="H21" s="21"/>
      <c r="I21" s="21">
        <v>2638</v>
      </c>
      <c r="J21" s="21">
        <f>'CF12.09'!D27/1000</f>
        <v>2638.376</v>
      </c>
      <c r="K21" s="230"/>
      <c r="L21" s="19"/>
    </row>
    <row r="22" spans="2:12" s="51" customFormat="1" ht="14.25" customHeight="1">
      <c r="B22" s="41" t="s">
        <v>262</v>
      </c>
      <c r="C22" s="24"/>
      <c r="D22" s="24"/>
      <c r="E22" s="21">
        <f>'[5]cashflow.'!$U$25</f>
        <v>-1991.7909599999984</v>
      </c>
      <c r="F22" s="21"/>
      <c r="G22" s="214">
        <f>'[9]cashflow.'!$V$25</f>
        <v>-12286.892970000004</v>
      </c>
      <c r="H22" s="21"/>
      <c r="I22" s="21">
        <v>-3186</v>
      </c>
      <c r="J22" s="21">
        <f>'CF12.09'!D28/1000</f>
        <v>-3186.2</v>
      </c>
      <c r="K22" s="230"/>
      <c r="L22" s="19"/>
    </row>
    <row r="23" spans="2:12" s="51" customFormat="1" ht="14.25" customHeight="1">
      <c r="B23" s="234" t="s">
        <v>256</v>
      </c>
      <c r="C23" s="24"/>
      <c r="D23" s="24"/>
      <c r="E23" s="21">
        <f>'[5]cashflow.'!$U$26</f>
        <v>770.346</v>
      </c>
      <c r="F23" s="21"/>
      <c r="G23" s="214">
        <f>'[9]cashflow.'!$V$26</f>
        <v>1115.7268100000001</v>
      </c>
      <c r="H23" s="21"/>
      <c r="I23" s="21">
        <v>-1775</v>
      </c>
      <c r="J23" s="21">
        <f>'CF12.09'!D29/1000</f>
        <v>-1774.921</v>
      </c>
      <c r="K23" s="230"/>
      <c r="L23" s="19"/>
    </row>
    <row r="24" spans="2:12" s="51" customFormat="1" ht="14.25" customHeight="1">
      <c r="B24" s="41" t="s">
        <v>257</v>
      </c>
      <c r="C24" s="20"/>
      <c r="D24" s="20"/>
      <c r="E24" s="21">
        <f>'[5]cashflow.'!$U$27</f>
        <v>8.91215000000011</v>
      </c>
      <c r="F24" s="21"/>
      <c r="G24" s="214">
        <f>'[9]cashflow.'!$V$27</f>
        <v>-2178.90703</v>
      </c>
      <c r="H24" s="21"/>
      <c r="I24" s="21">
        <v>1373</v>
      </c>
      <c r="J24" s="21">
        <f>'CF12.09'!D30/1000</f>
        <v>1373.389</v>
      </c>
      <c r="K24" s="230"/>
      <c r="L24" s="19"/>
    </row>
    <row r="25" spans="2:12" s="51" customFormat="1" ht="14.25" customHeight="1">
      <c r="B25" s="41" t="s">
        <v>258</v>
      </c>
      <c r="C25" s="20"/>
      <c r="D25" s="20"/>
      <c r="E25" s="21">
        <f>'[5]cashflow.'!$U$28</f>
        <v>-230.72018999999818</v>
      </c>
      <c r="F25" s="21"/>
      <c r="G25" s="214">
        <f>'[9]cashflow.'!$V$28</f>
        <v>1424.1969200000021</v>
      </c>
      <c r="H25" s="21"/>
      <c r="I25" s="21">
        <v>190</v>
      </c>
      <c r="J25" s="21">
        <f>'CF12.09'!D31/1000</f>
        <v>189.777</v>
      </c>
      <c r="K25" s="230"/>
      <c r="L25" s="19"/>
    </row>
    <row r="26" spans="2:12" s="51" customFormat="1" ht="15" thickBot="1">
      <c r="B26" s="40" t="s">
        <v>259</v>
      </c>
      <c r="C26" s="20"/>
      <c r="D26" s="20"/>
      <c r="E26" s="22">
        <f>'[5]cashflow.'!$U$29</f>
        <v>-780.1700500000002</v>
      </c>
      <c r="F26" s="28"/>
      <c r="G26" s="217">
        <f>'[9]cashflow.'!$V$29</f>
        <v>3705.18203</v>
      </c>
      <c r="H26" s="28"/>
      <c r="I26" s="22">
        <v>-271</v>
      </c>
      <c r="J26" s="22">
        <f>'CF12.09'!D32/1000</f>
        <v>-271.731</v>
      </c>
      <c r="K26" s="230"/>
      <c r="L26" s="19"/>
    </row>
    <row r="27" spans="2:12" s="51" customFormat="1" ht="14.25">
      <c r="B27" s="235"/>
      <c r="C27" s="24"/>
      <c r="D27" s="24"/>
      <c r="E27" s="21"/>
      <c r="F27" s="21"/>
      <c r="G27" s="214"/>
      <c r="H27" s="21"/>
      <c r="I27" s="21"/>
      <c r="J27" s="21"/>
      <c r="K27" s="230"/>
      <c r="L27" s="19"/>
    </row>
    <row r="28" spans="2:12" s="51" customFormat="1" ht="14.25" customHeight="1">
      <c r="B28" s="233" t="s">
        <v>107</v>
      </c>
      <c r="C28" s="20"/>
      <c r="D28" s="20"/>
      <c r="E28" s="49">
        <f>'[5]cashflow.'!$U$32</f>
        <v>254.40860000000794</v>
      </c>
      <c r="F28" s="49"/>
      <c r="G28" s="216">
        <f>'[9]cashflow.'!$V$32</f>
        <v>12533.54802</v>
      </c>
      <c r="H28" s="21"/>
      <c r="I28" s="49">
        <f>SUM(I17:I26)</f>
        <v>14657</v>
      </c>
      <c r="J28" s="49">
        <f>'CF12.09'!D34/1000</f>
        <v>14657.121</v>
      </c>
      <c r="K28" s="230"/>
      <c r="L28" s="19"/>
    </row>
    <row r="29" spans="2:12" s="51" customFormat="1" ht="14.25">
      <c r="B29" s="235"/>
      <c r="C29" s="24"/>
      <c r="D29" s="24"/>
      <c r="E29" s="21"/>
      <c r="F29" s="21"/>
      <c r="G29" s="214"/>
      <c r="H29" s="21"/>
      <c r="I29" s="21"/>
      <c r="J29" s="21"/>
      <c r="K29" s="230"/>
      <c r="L29" s="19"/>
    </row>
    <row r="30" spans="2:12" s="51" customFormat="1" ht="14.25" customHeight="1">
      <c r="B30" s="45" t="s">
        <v>9</v>
      </c>
      <c r="C30" s="18"/>
      <c r="D30" s="18"/>
      <c r="E30" s="21">
        <f>'[5]cashflow.'!$R$34</f>
        <v>-43</v>
      </c>
      <c r="F30" s="21"/>
      <c r="G30" s="214">
        <f>'[9]cashflow.'!$V$34</f>
        <v>-1417.7712600000004</v>
      </c>
      <c r="H30" s="21"/>
      <c r="I30" s="21">
        <v>-134</v>
      </c>
      <c r="J30" s="21">
        <f>'CF12.09'!D36/1000</f>
        <v>-134.101</v>
      </c>
      <c r="K30" s="230"/>
      <c r="L30" s="19"/>
    </row>
    <row r="31" spans="2:12" s="51" customFormat="1" ht="14.25">
      <c r="B31" s="45" t="s">
        <v>72</v>
      </c>
      <c r="C31" s="18"/>
      <c r="D31" s="18"/>
      <c r="E31" s="21">
        <f>'[5]cashflow.'!$R$35</f>
        <v>-832</v>
      </c>
      <c r="F31" s="21"/>
      <c r="G31" s="214">
        <f>'[9]cashflow.'!$V$35</f>
        <v>-4976</v>
      </c>
      <c r="H31" s="28"/>
      <c r="I31" s="28">
        <v>-3491</v>
      </c>
      <c r="J31" s="21">
        <f>'CF12.09'!D37/1000</f>
        <v>-3491.456</v>
      </c>
      <c r="K31" s="230"/>
      <c r="L31" s="19"/>
    </row>
    <row r="32" spans="2:12" s="51" customFormat="1" ht="15" thickBot="1">
      <c r="B32" s="45"/>
      <c r="C32" s="18"/>
      <c r="D32" s="18"/>
      <c r="E32" s="22"/>
      <c r="F32" s="28"/>
      <c r="G32" s="217"/>
      <c r="H32" s="21"/>
      <c r="I32" s="22"/>
      <c r="J32" s="22"/>
      <c r="K32" s="230"/>
      <c r="L32" s="19"/>
    </row>
    <row r="33" spans="2:12" s="51" customFormat="1" ht="15.75" thickBot="1">
      <c r="B33" s="236" t="s">
        <v>46</v>
      </c>
      <c r="C33" s="18"/>
      <c r="D33" s="18"/>
      <c r="E33" s="50">
        <f>'[5]cashflow.'!$U$37</f>
        <v>-620.5913999999921</v>
      </c>
      <c r="F33" s="115"/>
      <c r="G33" s="218">
        <f>SUM(G28:G32)</f>
        <v>6139.776760000001</v>
      </c>
      <c r="H33" s="28"/>
      <c r="I33" s="50">
        <f>SUM(I28:I32)</f>
        <v>11032</v>
      </c>
      <c r="J33" s="170">
        <f>'CF12.09'!D39/1000</f>
        <v>11031.564</v>
      </c>
      <c r="K33" s="230"/>
      <c r="L33" s="19"/>
    </row>
    <row r="34" spans="2:12" s="51" customFormat="1" ht="14.25">
      <c r="B34" s="45"/>
      <c r="C34" s="18"/>
      <c r="D34" s="18"/>
      <c r="E34" s="105"/>
      <c r="F34" s="105"/>
      <c r="G34" s="219"/>
      <c r="H34" s="105"/>
      <c r="I34" s="105"/>
      <c r="J34" s="105"/>
      <c r="K34" s="230"/>
      <c r="L34" s="19"/>
    </row>
    <row r="35" spans="2:12" s="51" customFormat="1" ht="14.25">
      <c r="B35" s="45"/>
      <c r="C35" s="19"/>
      <c r="D35" s="19"/>
      <c r="E35" s="21"/>
      <c r="F35" s="21"/>
      <c r="G35" s="214"/>
      <c r="H35" s="21"/>
      <c r="I35" s="21"/>
      <c r="J35" s="21"/>
      <c r="K35" s="230"/>
      <c r="L35" s="19"/>
    </row>
    <row r="36" spans="2:12" s="51" customFormat="1" ht="15" customHeight="1">
      <c r="B36" s="236" t="s">
        <v>73</v>
      </c>
      <c r="C36" s="25"/>
      <c r="D36" s="25"/>
      <c r="E36" s="21"/>
      <c r="F36" s="21"/>
      <c r="G36" s="214"/>
      <c r="H36" s="21"/>
      <c r="I36" s="21"/>
      <c r="J36" s="21"/>
      <c r="K36" s="231"/>
      <c r="L36" s="19"/>
    </row>
    <row r="37" spans="2:12" s="51" customFormat="1" ht="15" customHeight="1">
      <c r="B37" s="45" t="s">
        <v>108</v>
      </c>
      <c r="C37" s="25"/>
      <c r="D37" s="25"/>
      <c r="E37" s="21">
        <v>0</v>
      </c>
      <c r="F37" s="21"/>
      <c r="G37" s="214">
        <f>'[9]cashflow.'!$V$40</f>
        <v>0</v>
      </c>
      <c r="H37" s="21"/>
      <c r="I37" s="21">
        <v>15479</v>
      </c>
      <c r="J37" s="21">
        <f>'CF12.09'!D43/1000</f>
        <v>15479.479</v>
      </c>
      <c r="K37" s="230"/>
      <c r="L37" s="19"/>
    </row>
    <row r="38" spans="2:12" s="51" customFormat="1" ht="14.25">
      <c r="B38" s="42" t="s">
        <v>74</v>
      </c>
      <c r="C38" s="18"/>
      <c r="D38" s="18"/>
      <c r="E38" s="21">
        <f>'[5]cashflow.'!$U$41+'[5]cashflow.'!$U$42</f>
        <v>146</v>
      </c>
      <c r="F38" s="21"/>
      <c r="G38" s="214">
        <f>'[9]cashflow.'!$V$41+'[9]cashflow.'!$V$42</f>
        <v>721</v>
      </c>
      <c r="H38" s="21"/>
      <c r="I38" s="21">
        <v>419</v>
      </c>
      <c r="J38" s="21">
        <f>'CF12.09'!D45/1000+'CF12.09'!D44/1000</f>
        <v>419.404</v>
      </c>
      <c r="K38" s="230"/>
      <c r="L38" s="19"/>
    </row>
    <row r="39" spans="2:12" s="51" customFormat="1" ht="14.25">
      <c r="B39" s="42" t="s">
        <v>92</v>
      </c>
      <c r="C39" s="19"/>
      <c r="D39" s="19"/>
      <c r="E39" s="21">
        <v>0</v>
      </c>
      <c r="F39" s="21"/>
      <c r="G39" s="214">
        <f>'[9]cashflow.'!$V$43</f>
        <v>0</v>
      </c>
      <c r="H39" s="21"/>
      <c r="I39" s="21">
        <v>-500</v>
      </c>
      <c r="J39" s="21">
        <f>'CF12.09'!D46/1000</f>
        <v>-500.682</v>
      </c>
      <c r="K39" s="230"/>
      <c r="L39" s="19"/>
    </row>
    <row r="40" spans="2:12" s="51" customFormat="1" ht="14.25">
      <c r="B40" s="42" t="s">
        <v>75</v>
      </c>
      <c r="C40" s="19"/>
      <c r="D40" s="19"/>
      <c r="E40" s="21">
        <f>'[5]cashflow.'!$U$45</f>
        <v>-1142</v>
      </c>
      <c r="F40" s="21"/>
      <c r="G40" s="214">
        <f>'[9]cashflow.'!$V$45</f>
        <v>-4255.1151269999955</v>
      </c>
      <c r="H40" s="21"/>
      <c r="I40" s="21">
        <v>-11636</v>
      </c>
      <c r="J40" s="21">
        <f>'CF12.09'!D47/1000</f>
        <v>-11636.454</v>
      </c>
      <c r="K40" s="230"/>
      <c r="L40" s="19"/>
    </row>
    <row r="41" spans="2:12" s="51" customFormat="1" ht="15" thickBot="1">
      <c r="B41" s="45"/>
      <c r="C41" s="19"/>
      <c r="D41" s="19"/>
      <c r="E41" s="22"/>
      <c r="F41" s="28"/>
      <c r="G41" s="217"/>
      <c r="H41" s="28"/>
      <c r="I41" s="22"/>
      <c r="J41" s="22"/>
      <c r="K41" s="230"/>
      <c r="L41" s="19"/>
    </row>
    <row r="42" spans="2:13" s="51" customFormat="1" ht="15.75" thickBot="1">
      <c r="B42" s="45" t="s">
        <v>137</v>
      </c>
      <c r="C42" s="18"/>
      <c r="D42" s="18"/>
      <c r="E42" s="50">
        <f>'[5]cashflow.'!$U$48</f>
        <v>-996</v>
      </c>
      <c r="F42" s="115"/>
      <c r="G42" s="218">
        <f>SUM(G37:G41)</f>
        <v>-3534.1151269999955</v>
      </c>
      <c r="H42" s="28"/>
      <c r="I42" s="50">
        <f>SUM(I37:I41)</f>
        <v>3762</v>
      </c>
      <c r="J42" s="50">
        <f>'CF12.09'!D49/1000</f>
        <v>3761.747</v>
      </c>
      <c r="K42" s="230"/>
      <c r="L42" s="19"/>
      <c r="M42" s="106"/>
    </row>
    <row r="43" spans="2:12" s="51" customFormat="1" ht="14.25">
      <c r="B43" s="235"/>
      <c r="C43" s="19"/>
      <c r="D43" s="19"/>
      <c r="E43" s="21"/>
      <c r="F43" s="21"/>
      <c r="G43" s="214"/>
      <c r="H43" s="21"/>
      <c r="I43" s="21"/>
      <c r="J43" s="21"/>
      <c r="K43" s="230"/>
      <c r="L43" s="19"/>
    </row>
    <row r="44" spans="2:12" s="51" customFormat="1" ht="15" customHeight="1">
      <c r="B44" s="236" t="s">
        <v>77</v>
      </c>
      <c r="C44" s="25"/>
      <c r="D44" s="25"/>
      <c r="E44" s="21"/>
      <c r="F44" s="21"/>
      <c r="G44" s="214"/>
      <c r="H44" s="21"/>
      <c r="I44" s="21"/>
      <c r="J44" s="21"/>
      <c r="K44" s="232"/>
      <c r="L44" s="18"/>
    </row>
    <row r="45" spans="2:12" s="51" customFormat="1" ht="14.25" customHeight="1" hidden="1">
      <c r="B45" s="234" t="s">
        <v>197</v>
      </c>
      <c r="C45" s="18"/>
      <c r="D45" s="18"/>
      <c r="E45" s="21">
        <v>0</v>
      </c>
      <c r="F45" s="21"/>
      <c r="G45" s="214">
        <v>0</v>
      </c>
      <c r="H45" s="21"/>
      <c r="I45" s="21">
        <v>0</v>
      </c>
      <c r="J45" s="21">
        <f>'CF12.09'!D53/1000</f>
        <v>13320</v>
      </c>
      <c r="K45" s="230"/>
      <c r="L45" s="19"/>
    </row>
    <row r="46" spans="2:12" s="51" customFormat="1" ht="14.25" customHeight="1" hidden="1">
      <c r="B46" s="234" t="s">
        <v>198</v>
      </c>
      <c r="C46" s="18"/>
      <c r="D46" s="18"/>
      <c r="E46" s="21">
        <f>'[5]cashflow.'!$U$55</f>
        <v>-161.806</v>
      </c>
      <c r="F46" s="21"/>
      <c r="G46" s="214">
        <v>0</v>
      </c>
      <c r="H46" s="21"/>
      <c r="I46" s="21">
        <v>0</v>
      </c>
      <c r="J46" s="21">
        <f>'CF12.09'!D54/1000</f>
        <v>1785.884</v>
      </c>
      <c r="K46" s="230"/>
      <c r="L46" s="19"/>
    </row>
    <row r="47" spans="2:12" s="51" customFormat="1" ht="14.25" customHeight="1">
      <c r="B47" s="234" t="s">
        <v>78</v>
      </c>
      <c r="C47" s="18"/>
      <c r="D47" s="18"/>
      <c r="E47" s="21">
        <f>'[5]cashflow.'!$U$52</f>
        <v>-6</v>
      </c>
      <c r="F47" s="21"/>
      <c r="G47" s="214">
        <f>'[9]cashflow.'!$V$52</f>
        <v>-21.30162</v>
      </c>
      <c r="H47" s="21"/>
      <c r="I47" s="21">
        <v>-10</v>
      </c>
      <c r="J47" s="21">
        <f>'CF12.09'!D55/1000</f>
        <v>-9.886</v>
      </c>
      <c r="K47" s="230"/>
      <c r="L47" s="19"/>
    </row>
    <row r="48" spans="2:12" s="51" customFormat="1" ht="14.25" customHeight="1">
      <c r="B48" s="234" t="s">
        <v>199</v>
      </c>
      <c r="C48" s="18"/>
      <c r="D48" s="18"/>
      <c r="E48" s="21">
        <f>'[5]cashflow.'!$U$53</f>
        <v>-15</v>
      </c>
      <c r="F48" s="21"/>
      <c r="G48" s="214">
        <f>'[9]cashflow.'!$V$53</f>
        <v>-123.08667</v>
      </c>
      <c r="H48" s="21"/>
      <c r="I48" s="21">
        <v>-26</v>
      </c>
      <c r="J48" s="21">
        <f>'CF12.09'!D56/1000</f>
        <v>-26.016</v>
      </c>
      <c r="K48" s="230"/>
      <c r="L48" s="19"/>
    </row>
    <row r="49" spans="2:12" s="51" customFormat="1" ht="14.25" customHeight="1">
      <c r="B49" s="234" t="s">
        <v>79</v>
      </c>
      <c r="C49" s="18"/>
      <c r="D49" s="18"/>
      <c r="E49" s="21">
        <f>'[5]cashflow.'!$U$54</f>
        <v>-440</v>
      </c>
      <c r="F49" s="21"/>
      <c r="G49" s="214">
        <f>'[9]cashflow.'!$V$54</f>
        <v>-127.86328000000003</v>
      </c>
      <c r="H49" s="21"/>
      <c r="I49" s="21">
        <v>-63</v>
      </c>
      <c r="J49" s="21">
        <f>'CF12.09'!D57/1000</f>
        <v>-63.273</v>
      </c>
      <c r="K49" s="230"/>
      <c r="L49" s="19"/>
    </row>
    <row r="50" spans="2:12" s="51" customFormat="1" ht="14.25" customHeight="1">
      <c r="B50" s="234" t="s">
        <v>200</v>
      </c>
      <c r="C50" s="18"/>
      <c r="D50" s="18"/>
      <c r="E50" s="21">
        <v>0</v>
      </c>
      <c r="F50" s="21"/>
      <c r="G50" s="220">
        <f>'[9]cashflow.'!$V$60</f>
        <v>-1745.91268</v>
      </c>
      <c r="H50" s="28"/>
      <c r="I50" s="28">
        <v>-667</v>
      </c>
      <c r="J50" s="21">
        <f>'CF12.09'!D58/1000</f>
        <v>-666.77</v>
      </c>
      <c r="K50" s="230"/>
      <c r="L50" s="19"/>
    </row>
    <row r="51" spans="2:12" s="51" customFormat="1" ht="14.25" customHeight="1">
      <c r="B51" s="234" t="s">
        <v>252</v>
      </c>
      <c r="C51" s="18"/>
      <c r="D51" s="18"/>
      <c r="E51" s="21">
        <v>0</v>
      </c>
      <c r="F51" s="21"/>
      <c r="G51" s="214">
        <v>0</v>
      </c>
      <c r="H51" s="28"/>
      <c r="I51" s="28">
        <v>13320</v>
      </c>
      <c r="J51" s="21">
        <f>'CF12.09'!D59/1000</f>
        <v>-2520.424</v>
      </c>
      <c r="K51" s="230"/>
      <c r="L51" s="19"/>
    </row>
    <row r="52" spans="2:12" s="51" customFormat="1" ht="14.25" customHeight="1">
      <c r="B52" s="234" t="s">
        <v>253</v>
      </c>
      <c r="C52" s="18"/>
      <c r="D52" s="18"/>
      <c r="E52" s="21"/>
      <c r="F52" s="21"/>
      <c r="G52" s="214"/>
      <c r="H52" s="28"/>
      <c r="I52" s="28">
        <v>-2520</v>
      </c>
      <c r="J52" s="21"/>
      <c r="K52" s="230"/>
      <c r="L52" s="19"/>
    </row>
    <row r="53" spans="2:12" s="51" customFormat="1" ht="14.25" customHeight="1">
      <c r="B53" s="234" t="s">
        <v>243</v>
      </c>
      <c r="C53" s="18"/>
      <c r="D53" s="18"/>
      <c r="E53" s="21">
        <f>'[5]cashflow.'!$U$51</f>
        <v>-1007.242</v>
      </c>
      <c r="F53" s="21"/>
      <c r="G53" s="214">
        <f>'[9]cashflow.'!$V$51</f>
        <v>446</v>
      </c>
      <c r="H53" s="28"/>
      <c r="I53" s="28">
        <v>-2813</v>
      </c>
      <c r="J53" s="21">
        <f>'CF12.09'!D60/1000</f>
        <v>-2812.839</v>
      </c>
      <c r="K53" s="230"/>
      <c r="L53" s="19"/>
    </row>
    <row r="54" spans="2:12" s="51" customFormat="1" ht="14.25" customHeight="1">
      <c r="B54" s="234" t="s">
        <v>244</v>
      </c>
      <c r="C54" s="18"/>
      <c r="D54" s="18"/>
      <c r="E54" s="21"/>
      <c r="F54" s="21"/>
      <c r="G54" s="214">
        <f>'[9]cashflow.'!$V$55</f>
        <v>22000</v>
      </c>
      <c r="H54" s="28"/>
      <c r="I54" s="28">
        <v>1785</v>
      </c>
      <c r="J54" s="21"/>
      <c r="K54" s="230"/>
      <c r="L54" s="19"/>
    </row>
    <row r="55" spans="2:12" s="51" customFormat="1" ht="14.25" customHeight="1" thickBot="1">
      <c r="B55" s="234" t="s">
        <v>245</v>
      </c>
      <c r="C55" s="18"/>
      <c r="D55" s="18"/>
      <c r="E55" s="22">
        <f>'[5]cashflow.'!$U$60</f>
        <v>363</v>
      </c>
      <c r="F55" s="28"/>
      <c r="G55" s="221">
        <f>'[9]cashflow.'!$V$61</f>
        <v>-20000</v>
      </c>
      <c r="H55" s="28"/>
      <c r="I55" s="205">
        <v>-5000</v>
      </c>
      <c r="J55" s="22">
        <f>'CF12.09'!D61/1000</f>
        <v>-5000</v>
      </c>
      <c r="K55" s="230"/>
      <c r="L55" s="19"/>
    </row>
    <row r="56" spans="2:12" s="51" customFormat="1" ht="14.25" customHeight="1" thickBot="1">
      <c r="B56" s="234" t="s">
        <v>236</v>
      </c>
      <c r="C56" s="18"/>
      <c r="D56" s="18"/>
      <c r="E56" s="22"/>
      <c r="F56" s="28"/>
      <c r="G56" s="217">
        <f>'[9]cashflow.'!$V$59</f>
        <v>-1800</v>
      </c>
      <c r="H56" s="28"/>
      <c r="I56" s="22">
        <v>0</v>
      </c>
      <c r="J56" s="22"/>
      <c r="K56" s="230"/>
      <c r="L56" s="19"/>
    </row>
    <row r="57" spans="2:12" s="51" customFormat="1" ht="18" customHeight="1" thickBot="1">
      <c r="B57" s="237"/>
      <c r="C57" s="20"/>
      <c r="D57" s="20"/>
      <c r="E57" s="53">
        <f>'[5]cashflow.'!$U$63</f>
        <v>-1267.048</v>
      </c>
      <c r="F57" s="187"/>
      <c r="G57" s="222">
        <f>SUM(G45:G56)</f>
        <v>-1372.1642500000016</v>
      </c>
      <c r="H57" s="28"/>
      <c r="I57" s="50">
        <f>SUM(I45:I56)</f>
        <v>4006</v>
      </c>
      <c r="J57" s="50">
        <f>'CF12.09'!D63/1000</f>
        <v>4006.676</v>
      </c>
      <c r="K57" s="230"/>
      <c r="L57" s="19"/>
    </row>
    <row r="58" spans="2:12" s="51" customFormat="1" ht="14.25">
      <c r="B58" s="45"/>
      <c r="C58" s="18"/>
      <c r="D58" s="18"/>
      <c r="E58" s="105"/>
      <c r="F58" s="105"/>
      <c r="G58" s="219"/>
      <c r="H58" s="28"/>
      <c r="I58" s="28"/>
      <c r="J58" s="105"/>
      <c r="K58" s="230"/>
      <c r="L58" s="19"/>
    </row>
    <row r="59" spans="2:12" s="51" customFormat="1" ht="14.25" customHeight="1">
      <c r="B59" s="236" t="s">
        <v>148</v>
      </c>
      <c r="C59" s="18"/>
      <c r="D59" s="18"/>
      <c r="E59" s="21">
        <f>'[5]cashflow.'!$U$65</f>
        <v>-2883.639399999992</v>
      </c>
      <c r="F59" s="21"/>
      <c r="G59" s="214">
        <f>G33+G42+G57</f>
        <v>1233.4973830000035</v>
      </c>
      <c r="H59" s="28"/>
      <c r="I59" s="28">
        <f>I33+I42+I57</f>
        <v>18800</v>
      </c>
      <c r="J59" s="21">
        <f>'CF12.09'!D65/1000</f>
        <v>18799.987</v>
      </c>
      <c r="K59" s="28"/>
      <c r="L59" s="19"/>
    </row>
    <row r="60" spans="2:12" s="51" customFormat="1" ht="14.25">
      <c r="B60" s="234"/>
      <c r="C60" s="19"/>
      <c r="D60" s="19"/>
      <c r="E60" s="21"/>
      <c r="F60" s="21"/>
      <c r="G60" s="214"/>
      <c r="H60" s="28"/>
      <c r="I60" s="28"/>
      <c r="J60" s="21"/>
      <c r="K60" s="230"/>
      <c r="L60" s="19"/>
    </row>
    <row r="61" spans="2:12" s="51" customFormat="1" ht="14.25" customHeight="1" thickBot="1">
      <c r="B61" s="255" t="s">
        <v>102</v>
      </c>
      <c r="C61" s="20"/>
      <c r="D61" s="20"/>
      <c r="E61" s="22">
        <f>'[5]cashflow.'!$U$67</f>
        <v>18800</v>
      </c>
      <c r="F61" s="28"/>
      <c r="G61" s="217">
        <f>'[8]cashflow.'!$V$67</f>
        <v>18800</v>
      </c>
      <c r="H61" s="28"/>
      <c r="I61" s="22">
        <v>0</v>
      </c>
      <c r="J61" s="22">
        <f>'CF12.09'!D68/1000</f>
        <v>0.002</v>
      </c>
      <c r="K61" s="230"/>
      <c r="L61" s="19"/>
    </row>
    <row r="62" spans="2:12" s="51" customFormat="1" ht="14.25">
      <c r="B62" s="255"/>
      <c r="C62" s="20"/>
      <c r="D62" s="20"/>
      <c r="E62" s="105"/>
      <c r="F62" s="105"/>
      <c r="G62" s="219"/>
      <c r="H62" s="28"/>
      <c r="I62" s="28"/>
      <c r="J62" s="105"/>
      <c r="K62" s="230"/>
      <c r="L62" s="19"/>
    </row>
    <row r="63" spans="2:12" s="51" customFormat="1" ht="15.75" thickBot="1">
      <c r="B63" s="255" t="s">
        <v>138</v>
      </c>
      <c r="C63" s="20"/>
      <c r="D63" s="19"/>
      <c r="E63" s="114">
        <f>'[5]cashflow.'!$U$69</f>
        <v>15916.360600000007</v>
      </c>
      <c r="F63" s="115"/>
      <c r="G63" s="223">
        <f>SUM(G59:G61)</f>
        <v>20033.497383</v>
      </c>
      <c r="H63" s="115"/>
      <c r="I63" s="114">
        <f>SUM(I59:I61)</f>
        <v>18800</v>
      </c>
      <c r="J63" s="114">
        <f>'CF12.09'!D70/1000</f>
        <v>18799.989</v>
      </c>
      <c r="K63" s="230"/>
      <c r="L63" s="19"/>
    </row>
    <row r="64" spans="2:11" s="51" customFormat="1" ht="15" thickTop="1">
      <c r="B64" s="255"/>
      <c r="G64" s="208"/>
      <c r="H64" s="28"/>
      <c r="I64" s="28"/>
      <c r="K64" s="199"/>
    </row>
    <row r="65" spans="2:11" s="51" customFormat="1" ht="14.25">
      <c r="B65" s="12"/>
      <c r="G65" s="208"/>
      <c r="H65" s="28"/>
      <c r="I65" s="28"/>
      <c r="K65" s="199"/>
    </row>
    <row r="66" spans="2:11" s="51" customFormat="1" ht="14.25">
      <c r="B66" s="2" t="s">
        <v>98</v>
      </c>
      <c r="G66" s="208"/>
      <c r="H66" s="28"/>
      <c r="I66" s="28"/>
      <c r="K66" s="199"/>
    </row>
    <row r="67" spans="2:11" s="51" customFormat="1" ht="14.25">
      <c r="B67" s="12" t="s">
        <v>83</v>
      </c>
      <c r="E67" s="105">
        <f>'[5]cashflow.'!$N$75</f>
        <v>29350</v>
      </c>
      <c r="F67" s="105"/>
      <c r="G67" s="219">
        <f>'[8]cashflow.'!$N$75</f>
        <v>25978</v>
      </c>
      <c r="H67" s="28"/>
      <c r="I67" s="28">
        <f>19711+8538</f>
        <v>28249</v>
      </c>
      <c r="J67" s="21">
        <f>'CF12.09'!D83/1000+'CF12.09'!D85/1000</f>
        <v>28249.176</v>
      </c>
      <c r="K67" s="199"/>
    </row>
    <row r="68" spans="2:11" s="51" customFormat="1" ht="14.25">
      <c r="B68" s="12" t="s">
        <v>84</v>
      </c>
      <c r="E68" s="105">
        <f>'[5]cashflow.'!$N$76</f>
        <v>3944</v>
      </c>
      <c r="F68" s="105"/>
      <c r="G68" s="219">
        <f>'[8]cashflow.'!$N$76</f>
        <v>11912</v>
      </c>
      <c r="H68" s="28"/>
      <c r="I68" s="28">
        <v>3199</v>
      </c>
      <c r="J68" s="21">
        <f>'CF12.09'!D86/1000</f>
        <v>3199.333</v>
      </c>
      <c r="K68" s="199"/>
    </row>
    <row r="69" spans="2:11" s="51" customFormat="1" ht="15" thickBot="1">
      <c r="B69" s="12" t="s">
        <v>85</v>
      </c>
      <c r="E69" s="127">
        <f>'[5]cashflow.'!$N$77</f>
        <v>-8541</v>
      </c>
      <c r="F69" s="188"/>
      <c r="G69" s="224">
        <f>'[8]cashflow.'!$N$77</f>
        <v>-6056</v>
      </c>
      <c r="I69" s="198">
        <v>-3959</v>
      </c>
      <c r="J69" s="22">
        <f>'CF12.09'!D87/1000</f>
        <v>-3959.186</v>
      </c>
      <c r="K69" s="199"/>
    </row>
    <row r="70" spans="2:11" s="51" customFormat="1" ht="14.25">
      <c r="B70" s="12"/>
      <c r="E70" s="105">
        <f>'[5]cashflow.'!$N$78</f>
        <v>24753</v>
      </c>
      <c r="F70" s="105"/>
      <c r="G70" s="219">
        <f>SUM(G67:G69)</f>
        <v>31834</v>
      </c>
      <c r="I70" s="105">
        <f>SUM(I67:I69)</f>
        <v>27489</v>
      </c>
      <c r="J70" s="21">
        <f>'CF12.09'!D89/1000</f>
        <v>27489.323</v>
      </c>
      <c r="K70" s="199"/>
    </row>
    <row r="71" spans="2:11" s="51" customFormat="1" ht="14.25">
      <c r="B71" s="43" t="s">
        <v>141</v>
      </c>
      <c r="C71" s="107"/>
      <c r="E71" s="105">
        <f>'[5]cashflow.'!$N$79</f>
        <v>-8843</v>
      </c>
      <c r="F71" s="105"/>
      <c r="G71" s="219">
        <f>'[8]cashflow.'!$N$79</f>
        <v>-11801</v>
      </c>
      <c r="I71" s="199">
        <f>-8668-21</f>
        <v>-8689</v>
      </c>
      <c r="J71" s="21">
        <f>'CF12.09'!D91/1000</f>
        <v>-8689.334</v>
      </c>
      <c r="K71" s="199"/>
    </row>
    <row r="72" spans="2:11" s="51" customFormat="1" ht="15.75" thickBot="1">
      <c r="B72" s="12"/>
      <c r="E72" s="116">
        <f>'[5]cashflow.'!$N$80</f>
        <v>15910</v>
      </c>
      <c r="F72" s="189"/>
      <c r="G72" s="225">
        <f>SUM(G70:G71)</f>
        <v>20033</v>
      </c>
      <c r="H72" s="115"/>
      <c r="I72" s="197">
        <f>SUM(I70:I71)</f>
        <v>18800</v>
      </c>
      <c r="J72" s="180">
        <f>'CF12.09'!D93/1000</f>
        <v>18799.989</v>
      </c>
      <c r="K72" s="199"/>
    </row>
    <row r="73" spans="7:11" s="51" customFormat="1" ht="15" thickTop="1">
      <c r="G73" s="229"/>
      <c r="H73" s="28"/>
      <c r="I73" s="28"/>
      <c r="K73" s="199"/>
    </row>
    <row r="74" spans="2:9" s="51" customFormat="1" ht="14.25" hidden="1">
      <c r="B74" s="51" t="s">
        <v>127</v>
      </c>
      <c r="E74" s="106"/>
      <c r="F74" s="106"/>
      <c r="G74" s="226"/>
      <c r="H74" s="28"/>
      <c r="I74" s="28"/>
    </row>
    <row r="75" s="51" customFormat="1" ht="12.75" customHeight="1">
      <c r="G75" s="208"/>
    </row>
    <row r="76" spans="2:7" s="51" customFormat="1" ht="16.5">
      <c r="B76" s="128" t="s">
        <v>235</v>
      </c>
      <c r="G76" s="208"/>
    </row>
    <row r="77" spans="2:7" s="51" customFormat="1" ht="16.5">
      <c r="B77" s="128" t="s">
        <v>234</v>
      </c>
      <c r="G77" s="208"/>
    </row>
    <row r="78" spans="2:7" s="51" customFormat="1" ht="16.5">
      <c r="B78" s="196" t="s">
        <v>101</v>
      </c>
      <c r="G78" s="208"/>
    </row>
  </sheetData>
  <sheetProtection/>
  <mergeCells count="6">
    <mergeCell ref="B61:B62"/>
    <mergeCell ref="B63:B64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 </cp:lastModifiedBy>
  <cp:lastPrinted>2011-02-24T05:44:19Z</cp:lastPrinted>
  <dcterms:created xsi:type="dcterms:W3CDTF">2002-11-05T00:02:16Z</dcterms:created>
  <dcterms:modified xsi:type="dcterms:W3CDTF">2011-02-24T08:09:32Z</dcterms:modified>
  <cp:category/>
  <cp:version/>
  <cp:contentType/>
  <cp:contentStatus/>
</cp:coreProperties>
</file>